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Билборды Омск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sz val="11"/>
      <color rgb="FF0B5F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 vertical="center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" width="46" customWidth="1"/>
    <col min="3" max="3" width="18" customWidth="1"/>
    <col min="4" max="4" width="11" customWidth="1"/>
    <col min="5" max="5" width="10" customWidth="1"/>
    <col min="6" max="6" width="9" customWidth="1"/>
    <col min="7" max="7" width="10" customWidth="1"/>
    <col min="8" max="8" width="10" customWidth="1"/>
    <col min="9" max="9" width="10" customWidth="1"/>
  </cols>
  <sheetData>
    <row r="1" ht="32" customHeight="1">
      <c r="A1" t="inlineStr" s="1">
        <is>
          <t xml:space="preserve">№</t>
        </is>
      </c>
      <c r="B1" t="inlineStr" s="1">
        <is>
          <t xml:space="preserve">Адрес</t>
        </is>
      </c>
      <c r="C1" t="inlineStr" s="1">
        <is>
          <t xml:space="preserve">Тип</t>
        </is>
      </c>
      <c r="D1" t="inlineStr" s="1">
        <is>
          <t xml:space="preserve">Размер, м</t>
        </is>
      </c>
      <c r="E1" t="inlineStr" s="1">
        <is>
          <t xml:space="preserve">Стороны</t>
        </is>
      </c>
      <c r="F1" t="inlineStr" s="1">
        <is>
          <t xml:space="preserve">Карта</t>
        </is>
      </c>
      <c r="G1" t="inlineStr" s="1">
        <is>
          <t xml:space="preserve">Фото</t>
        </is>
      </c>
      <c r="H1" t="inlineStr" s="1">
        <is>
          <t xml:space="preserve">Широта</t>
        </is>
      </c>
      <c r="I1" t="inlineStr" s="1">
        <is>
          <t xml:space="preserve">Долгота</t>
        </is>
      </c>
    </row>
    <row r="2">
      <c r="A2">
        <v>1</v>
      </c>
      <c r="B2" t="inlineStr">
        <is>
          <t xml:space="preserve">10 лет Октября, 176/1</t>
        </is>
      </c>
      <c r="C2" t="inlineStr">
        <is>
          <t xml:space="preserve">Билборд</t>
        </is>
      </c>
      <c r="D2" t="inlineStr">
        <is>
          <t xml:space="preserve">6×3</t>
        </is>
      </c>
      <c r="E2" t="inlineStr">
        <is>
          <t xml:space="preserve">A, B</t>
        </is>
      </c>
      <c r="F2" s="2" t="str">
        <f>HYPERLINK("https://yandex.ru/maps/?pt=73.434663,54.98749&amp;z=17","открыть")</f>
        <v>открыть</v>
      </c>
      <c r="G2" s="2" t="str">
        <f>HYPERLINK("https://mediafasadomsk.com/surfaces/bb-10-let-oktyabrya-d-176-1-a-900.jpg","смотреть")</f>
        <v>смотреть</v>
      </c>
      <c r="H2">
        <v>54.98749</v>
      </c>
      <c r="I2">
        <v>73.434663</v>
      </c>
    </row>
    <row r="3">
      <c r="A3">
        <v>2</v>
      </c>
      <c r="B3" t="inlineStr">
        <is>
          <t xml:space="preserve">10 лет Октября, 105</t>
        </is>
      </c>
      <c r="C3" t="inlineStr">
        <is>
          <t xml:space="preserve">Цифровой билборд</t>
        </is>
      </c>
      <c r="D3" t="inlineStr">
        <is>
          <t xml:space="preserve">6×3</t>
        </is>
      </c>
      <c r="E3" t="inlineStr">
        <is>
          <t xml:space="preserve">A, B</t>
        </is>
      </c>
      <c r="F3" s="2" t="str">
        <f>HYPERLINK("https://yandex.ru/maps/?pt=73.397607,54.985086&amp;z=17","открыть")</f>
        <v>открыть</v>
      </c>
      <c r="G3" s="2" t="str">
        <f>HYPERLINK("https://mediafasadomsk.com/surfaces/bb-10-let-oktyabrya-ul-105-a-900.jpg","смотреть")</f>
        <v>смотреть</v>
      </c>
      <c r="H3">
        <v>54.985086</v>
      </c>
      <c r="I3">
        <v>73.397607</v>
      </c>
    </row>
    <row r="4">
      <c r="A4">
        <v>3</v>
      </c>
      <c r="B4" t="inlineStr">
        <is>
          <t xml:space="preserve">10 лет Октября, 105 (у пересечения с улицей Куйбышева, светофор)</t>
        </is>
      </c>
      <c r="C4" t="inlineStr">
        <is>
          <t xml:space="preserve">Цифровой билборд</t>
        </is>
      </c>
      <c r="D4" t="inlineStr">
        <is>
          <t xml:space="preserve">6×3</t>
        </is>
      </c>
      <c r="E4" t="inlineStr">
        <is>
          <t xml:space="preserve">B1</t>
        </is>
      </c>
      <c r="F4" s="2" t="str">
        <f>HYPERLINK("https://yandex.ru/maps/?pt=73.39740804662752,54.985056883681104&amp;z=17","открыть")</f>
        <v>открыть</v>
      </c>
      <c r="G4" s="2" t="str">
        <f>HYPERLINK("https://mediafasadomsk.com/surfaces/bb-10-let-oktyabrya-ul-105-h-s-ul-kujbysheva-svetofor-a-900.jpg","смотреть")</f>
        <v>смотреть</v>
      </c>
      <c r="H4">
        <v>54.985056883681104</v>
      </c>
      <c r="I4">
        <v>73.39740804662752</v>
      </c>
    </row>
    <row r="5">
      <c r="A5">
        <v>4</v>
      </c>
      <c r="B5" t="inlineStr">
        <is>
          <t xml:space="preserve">10 лет Октября, 105 (у пересечения с улицей Куйбышева, светофор)</t>
        </is>
      </c>
      <c r="C5" t="inlineStr">
        <is>
          <t xml:space="preserve">Билборд</t>
        </is>
      </c>
      <c r="D5" t="inlineStr">
        <is>
          <t xml:space="preserve">6×3</t>
        </is>
      </c>
      <c r="E5" t="inlineStr">
        <is>
          <t xml:space="preserve">A</t>
        </is>
      </c>
      <c r="F5" s="2" t="str">
        <f>HYPERLINK("https://yandex.ru/maps/?pt=73.39740804662752,54.985056883681104&amp;z=17","открыть")</f>
        <v>открыть</v>
      </c>
      <c r="G5" s="2" t="str">
        <f>HYPERLINK("https://mediafasadomsk.com/surfaces/bb-10-let-oktyabrya-ul-105-h-s-ul-kujbysheva-svetofor-a-a-900.jpg","смотреть")</f>
        <v>смотреть</v>
      </c>
      <c r="H5">
        <v>54.985056883681104</v>
      </c>
      <c r="I5">
        <v>73.39740804662752</v>
      </c>
    </row>
    <row r="6">
      <c r="A6">
        <v>5</v>
      </c>
      <c r="B6" t="inlineStr">
        <is>
          <t xml:space="preserve">10 лет Октября, 109 (светофор, ТЦ «Квадро»)</t>
        </is>
      </c>
      <c r="C6" t="inlineStr">
        <is>
          <t xml:space="preserve">Билборд</t>
        </is>
      </c>
      <c r="D6" t="inlineStr">
        <is>
          <t xml:space="preserve">6×3</t>
        </is>
      </c>
      <c r="E6" t="inlineStr">
        <is>
          <t xml:space="preserve">A, B</t>
        </is>
      </c>
      <c r="F6" s="2" t="str">
        <f>HYPERLINK("https://yandex.ru/maps/?pt=73.40190000000024,54.9853&amp;z=17","открыть")</f>
        <v>открыть</v>
      </c>
      <c r="G6" s="2" t="str">
        <f>HYPERLINK("https://mediafasadomsk.com/surfaces/bb-10-let-oktyabrya-ul-109-svetofor-tc-kvadro-a-900.jpg","смотреть")</f>
        <v>смотреть</v>
      </c>
      <c r="H6">
        <v>54.9853</v>
      </c>
      <c r="I6">
        <v>73.40190000000024</v>
      </c>
    </row>
    <row r="7">
      <c r="A7">
        <v>6</v>
      </c>
      <c r="B7" t="inlineStr">
        <is>
          <t xml:space="preserve">10 лет Октября, 112 (светофор)</t>
        </is>
      </c>
      <c r="C7" t="inlineStr">
        <is>
          <t xml:space="preserve">Билборд</t>
        </is>
      </c>
      <c r="D7" t="inlineStr">
        <is>
          <t xml:space="preserve">6×3</t>
        </is>
      </c>
      <c r="E7" t="inlineStr">
        <is>
          <t xml:space="preserve">A, B</t>
        </is>
      </c>
      <c r="F7" s="2" t="str">
        <f>HYPERLINK("https://yandex.ru/maps/?pt=73.40807103728257,54.9853778482569&amp;z=17","открыть")</f>
        <v>открыть</v>
      </c>
      <c r="G7" s="2" t="str">
        <f>HYPERLINK("https://mediafasadomsk.com/surfaces/bb-10-let-oktyabrya-ul-112-svetofor-a-900.jpg","смотреть")</f>
        <v>смотреть</v>
      </c>
      <c r="H7">
        <v>54.9853778482569</v>
      </c>
      <c r="I7">
        <v>73.40807103728257</v>
      </c>
    </row>
    <row r="8">
      <c r="A8">
        <v>7</v>
      </c>
      <c r="B8" t="inlineStr">
        <is>
          <t xml:space="preserve">10 лет Октября, 113</t>
        </is>
      </c>
      <c r="C8" t="inlineStr">
        <is>
          <t xml:space="preserve">Билборд</t>
        </is>
      </c>
      <c r="D8" t="inlineStr">
        <is>
          <t xml:space="preserve">6×3</t>
        </is>
      </c>
      <c r="E8" t="inlineStr">
        <is>
          <t xml:space="preserve">A, B</t>
        </is>
      </c>
      <c r="F8" s="2" t="str">
        <f>HYPERLINK("https://yandex.ru/maps/?pt=73.40650000000015,54.9856&amp;z=17","открыть")</f>
        <v>открыть</v>
      </c>
      <c r="G8" s="2" t="str">
        <f>HYPERLINK("https://mediafasadomsk.com/surfaces/bb-10-let-oktyabrya-ul-113-a-900.jpg","смотреть")</f>
        <v>смотреть</v>
      </c>
      <c r="H8">
        <v>54.9856</v>
      </c>
      <c r="I8">
        <v>73.40650000000015</v>
      </c>
    </row>
    <row r="9">
      <c r="A9">
        <v>8</v>
      </c>
      <c r="B9" t="inlineStr">
        <is>
          <t xml:space="preserve">10 лет Октября, напротив дома 117 (у пересечения с улицей Богдана Хмельницкого, светофор)</t>
        </is>
      </c>
      <c r="C9" t="inlineStr">
        <is>
          <t xml:space="preserve">Билборд</t>
        </is>
      </c>
      <c r="D9" t="inlineStr">
        <is>
          <t xml:space="preserve">6×3</t>
        </is>
      </c>
      <c r="E9" t="inlineStr">
        <is>
          <t xml:space="preserve">A, B</t>
        </is>
      </c>
      <c r="F9" s="2" t="str">
        <f>HYPERLINK("https://yandex.ru/maps/?pt=73.40928578498051,54.985416333657255&amp;z=17","открыть")</f>
        <v>открыть</v>
      </c>
      <c r="G9" s="2" t="str">
        <f>HYPERLINK("https://mediafasadomsk.com/surfaces/bb-10-let-oktyabrya-ul-117-naprotiv-h-s-ul-bogdana-hmelnickogo-svetofor-a-900.jpg","смотреть")</f>
        <v>смотреть</v>
      </c>
      <c r="H9">
        <v>54.985416333657255</v>
      </c>
      <c r="I9">
        <v>73.40928578498051</v>
      </c>
    </row>
    <row r="10">
      <c r="A10">
        <v>9</v>
      </c>
      <c r="B10" t="inlineStr">
        <is>
          <t xml:space="preserve">10 лет Октября, 136 (у пересечения с улицей Шебалдина, светофор)</t>
        </is>
      </c>
      <c r="C10" t="inlineStr">
        <is>
          <t xml:space="preserve">Цифровой билборд</t>
        </is>
      </c>
      <c r="D10" t="inlineStr">
        <is>
          <t xml:space="preserve">6×3</t>
        </is>
      </c>
      <c r="E10" t="inlineStr">
        <is>
          <t xml:space="preserve">A1, B1</t>
        </is>
      </c>
      <c r="F10" s="2" t="str">
        <f>HYPERLINK("https://yandex.ru/maps/?pt=73.41318994802837,54.98565881627314&amp;z=17","открыть")</f>
        <v>открыть</v>
      </c>
      <c r="G10" s="2" t="str">
        <f>HYPERLINK("https://mediafasadomsk.com/surfaces/bb-10-let-oktyabrya-ul-136-h-s-ul-shebaldina-svetofor-a-900.jpg","смотреть")</f>
        <v>смотреть</v>
      </c>
      <c r="H10">
        <v>54.98565881627314</v>
      </c>
      <c r="I10">
        <v>73.41318994802837</v>
      </c>
    </row>
    <row r="11">
      <c r="A11">
        <v>10</v>
      </c>
      <c r="B11" t="inlineStr">
        <is>
          <t xml:space="preserve">10 лет Октября, 138/2 (светофор)</t>
        </is>
      </c>
      <c r="C11" t="inlineStr">
        <is>
          <t xml:space="preserve">Билборд</t>
        </is>
      </c>
      <c r="D11" t="inlineStr">
        <is>
          <t xml:space="preserve">6×3</t>
        </is>
      </c>
      <c r="E11" t="inlineStr">
        <is>
          <t xml:space="preserve">A, B</t>
        </is>
      </c>
      <c r="F11" s="2" t="str">
        <f>HYPERLINK("https://yandex.ru/maps/?pt=73.41693162918082,54.98588563654401&amp;z=17","открыть")</f>
        <v>открыть</v>
      </c>
      <c r="G11" s="2" t="str">
        <f>HYPERLINK("https://mediafasadomsk.com/surfaces/bb-10-let-oktyabrya-ul-138k2-svetofor-a-900.jpg","смотреть")</f>
        <v>смотреть</v>
      </c>
      <c r="H11">
        <v>54.98588563654401</v>
      </c>
      <c r="I11">
        <v>73.41693162918082</v>
      </c>
    </row>
    <row r="12">
      <c r="A12">
        <v>11</v>
      </c>
      <c r="B12" t="inlineStr">
        <is>
          <t xml:space="preserve">10 лет Октября, 141 (светофор)</t>
        </is>
      </c>
      <c r="C12" t="inlineStr">
        <is>
          <t xml:space="preserve">Билборд</t>
        </is>
      </c>
      <c r="D12" t="inlineStr">
        <is>
          <t xml:space="preserve">6×3</t>
        </is>
      </c>
      <c r="E12" t="inlineStr">
        <is>
          <t xml:space="preserve">A, B</t>
        </is>
      </c>
      <c r="F12" s="2" t="str">
        <f>HYPERLINK("https://yandex.ru/maps/?pt=73.41700000000017,54.986200000000004&amp;z=17","открыть")</f>
        <v>открыть</v>
      </c>
      <c r="G12" s="2" t="str">
        <f>HYPERLINK("https://mediafasadomsk.com/surfaces/bb-10-let-oktyabrya-ul-141-svetofor-a-900.jpg","смотреть")</f>
        <v>смотреть</v>
      </c>
      <c r="H12">
        <v>54.986200000000004</v>
      </c>
      <c r="I12">
        <v>73.41700000000017</v>
      </c>
    </row>
    <row r="13">
      <c r="A13">
        <v>12</v>
      </c>
      <c r="B13" t="inlineStr">
        <is>
          <t xml:space="preserve">10 лет Октября, 147</t>
        </is>
      </c>
      <c r="C13" t="inlineStr">
        <is>
          <t xml:space="preserve">Билборд</t>
        </is>
      </c>
      <c r="D13" t="inlineStr">
        <is>
          <t xml:space="preserve">6×3</t>
        </is>
      </c>
      <c r="E13" t="inlineStr">
        <is>
          <t xml:space="preserve">A, B</t>
        </is>
      </c>
      <c r="F13" s="2" t="str">
        <f>HYPERLINK("https://yandex.ru/maps/?pt=73.42189999999974,54.986399999999996&amp;z=17","открыть")</f>
        <v>открыть</v>
      </c>
      <c r="G13" s="2" t="str">
        <f>HYPERLINK("https://mediafasadomsk.com/surfaces/bb-10-let-oktyabrya-ul-147-a-900.jpg","смотреть")</f>
        <v>смотреть</v>
      </c>
      <c r="H13">
        <v>54.986399999999996</v>
      </c>
      <c r="I13">
        <v>73.42189999999974</v>
      </c>
    </row>
    <row r="14">
      <c r="A14">
        <v>13</v>
      </c>
      <c r="B14" t="inlineStr">
        <is>
          <t xml:space="preserve">10 лет Октября, 166/1</t>
        </is>
      </c>
      <c r="C14" t="inlineStr">
        <is>
          <t xml:space="preserve">Цифровой билборд</t>
        </is>
      </c>
      <c r="D14" t="inlineStr">
        <is>
          <t xml:space="preserve">6×3</t>
        </is>
      </c>
      <c r="E14" t="inlineStr">
        <is>
          <t xml:space="preserve">A1, B1</t>
        </is>
      </c>
      <c r="F14" s="2" t="str">
        <f>HYPERLINK("https://yandex.ru/maps/?pt=73.42738151550294,54.98647296280891&amp;z=17","открыть")</f>
        <v>открыть</v>
      </c>
      <c r="G14" s="2" t="str">
        <f>HYPERLINK("https://mediafasadomsk.com/surfaces/bb-10-let-oktyabrya-ul-166-1-a-900.jpg","смотреть")</f>
        <v>смотреть</v>
      </c>
      <c r="H14">
        <v>54.98647296280891</v>
      </c>
      <c r="I14">
        <v>73.42738151550294</v>
      </c>
    </row>
    <row r="15">
      <c r="A15">
        <v>14</v>
      </c>
      <c r="B15" t="inlineStr">
        <is>
          <t xml:space="preserve">10 лет Октября, 172А (светофор)</t>
        </is>
      </c>
      <c r="C15" t="inlineStr">
        <is>
          <t xml:space="preserve">Билборд</t>
        </is>
      </c>
      <c r="D15" t="inlineStr">
        <is>
          <t xml:space="preserve">6×3</t>
        </is>
      </c>
      <c r="E15" t="inlineStr">
        <is>
          <t xml:space="preserve">A, B</t>
        </is>
      </c>
      <c r="F15" s="2" t="str">
        <f>HYPERLINK("https://yandex.ru/maps/?pt=73.43150138854969,54.986885404802806&amp;z=17","открыть")</f>
        <v>открыть</v>
      </c>
      <c r="G15" s="2" t="str">
        <f>HYPERLINK("https://mediafasadomsk.com/surfaces/bb-10-let-oktyabrya-ul-172a-svetofor-a-900.jpg","смотреть")</f>
        <v>смотреть</v>
      </c>
      <c r="H15">
        <v>54.986885404802806</v>
      </c>
      <c r="I15">
        <v>73.43150138854969</v>
      </c>
    </row>
    <row r="16">
      <c r="A16">
        <v>15</v>
      </c>
      <c r="B16" t="inlineStr">
        <is>
          <t xml:space="preserve">10 лет Октября, 180/3</t>
        </is>
      </c>
      <c r="C16" t="inlineStr">
        <is>
          <t xml:space="preserve">Билборд</t>
        </is>
      </c>
      <c r="D16" t="inlineStr">
        <is>
          <t xml:space="preserve">6×3</t>
        </is>
      </c>
      <c r="E16" t="inlineStr">
        <is>
          <t xml:space="preserve">A, B</t>
        </is>
      </c>
      <c r="F16" s="2" t="str">
        <f>HYPERLINK("https://yandex.ru/maps/?pt=73.452716,54.989652&amp;z=17","открыть")</f>
        <v>открыть</v>
      </c>
      <c r="G16" s="2" t="str">
        <f>HYPERLINK("https://mediafasadomsk.com/surfaces/bb-10-let-oktyabrya-ul-180-k3-a-900.jpg","смотреть")</f>
        <v>смотреть</v>
      </c>
      <c r="H16">
        <v>54.989652</v>
      </c>
      <c r="I16">
        <v>73.452716</v>
      </c>
    </row>
    <row r="17">
      <c r="A17">
        <v>16</v>
      </c>
      <c r="B17" t="inlineStr">
        <is>
          <t xml:space="preserve">10 лет Октября, 182</t>
        </is>
      </c>
      <c r="C17" t="inlineStr">
        <is>
          <t xml:space="preserve">Билборд</t>
        </is>
      </c>
      <c r="D17" t="inlineStr">
        <is>
          <t xml:space="preserve">6×3</t>
        </is>
      </c>
      <c r="E17" t="inlineStr">
        <is>
          <t xml:space="preserve">A, B</t>
        </is>
      </c>
      <c r="F17" s="2" t="str">
        <f>HYPERLINK("https://yandex.ru/maps/?pt=73.459622,54.989793&amp;z=17","открыть")</f>
        <v>открыть</v>
      </c>
      <c r="G17" s="2" t="str">
        <f>HYPERLINK("https://mediafasadomsk.com/surfaces/bb-10-let-oktyabrya-ul-182-a-900.jpg","смотреть")</f>
        <v>смотреть</v>
      </c>
      <c r="H17">
        <v>54.989793</v>
      </c>
      <c r="I17">
        <v>73.459622</v>
      </c>
    </row>
    <row r="18">
      <c r="A18">
        <v>17</v>
      </c>
      <c r="B18" t="inlineStr">
        <is>
          <t xml:space="preserve">10 лет Октября, 189</t>
        </is>
      </c>
      <c r="C18" t="inlineStr">
        <is>
          <t xml:space="preserve">Билборд</t>
        </is>
      </c>
      <c r="D18" t="inlineStr">
        <is>
          <t xml:space="preserve">6×3</t>
        </is>
      </c>
      <c r="E18" t="inlineStr">
        <is>
          <t xml:space="preserve">A</t>
        </is>
      </c>
      <c r="F18" s="2" t="str">
        <f>HYPERLINK("https://yandex.ru/maps/?pt=73.43089999999977,54.987&amp;z=17","открыть")</f>
        <v>открыть</v>
      </c>
      <c r="G18" s="2" t="str">
        <f>HYPERLINK("https://mediafasadomsk.com/surfaces/bb-10-let-oktyabrya-ul-189-a-900.jpg","смотреть")</f>
        <v>смотреть</v>
      </c>
      <c r="H18">
        <v>54.987</v>
      </c>
      <c r="I18">
        <v>73.43089999999977</v>
      </c>
    </row>
    <row r="19">
      <c r="A19">
        <v>18</v>
      </c>
      <c r="B19" t="inlineStr">
        <is>
          <t xml:space="preserve">10 лет Октября, 190 (ТЦ «Бауцентр»)</t>
        </is>
      </c>
      <c r="C19" t="inlineStr">
        <is>
          <t xml:space="preserve">Билборд</t>
        </is>
      </c>
      <c r="D19" t="inlineStr">
        <is>
          <t xml:space="preserve">6×3</t>
        </is>
      </c>
      <c r="E19" t="inlineStr">
        <is>
          <t xml:space="preserve">A, B</t>
        </is>
      </c>
      <c r="F19" s="2" t="str">
        <f>HYPERLINK("https://yandex.ru/maps/?pt=73.4845554828641,54.993026903329834&amp;z=17","открыть")</f>
        <v>открыть</v>
      </c>
      <c r="G19" s="2" t="str">
        <f>HYPERLINK("https://mediafasadomsk.com/surfaces/bb-10-let-oktyabrya-ul-190-tc-baucentr-a-900.jpg","смотреть")</f>
        <v>смотреть</v>
      </c>
      <c r="H19">
        <v>54.993026903329834</v>
      </c>
      <c r="I19">
        <v>73.4845554828641</v>
      </c>
    </row>
    <row r="20">
      <c r="A20">
        <v>19</v>
      </c>
      <c r="B20" t="inlineStr">
        <is>
          <t xml:space="preserve">10 лет Октября, 193/2 (светофор)</t>
        </is>
      </c>
      <c r="C20" t="inlineStr">
        <is>
          <t xml:space="preserve">Билборд</t>
        </is>
      </c>
      <c r="D20" t="inlineStr">
        <is>
          <t xml:space="preserve">6×3</t>
        </is>
      </c>
      <c r="E20" t="inlineStr">
        <is>
          <t xml:space="preserve">A, B</t>
        </is>
      </c>
      <c r="F20" s="2" t="str">
        <f>HYPERLINK("https://yandex.ru/maps/?pt=73.4337061643601,54.98757792846917&amp;z=17","открыть")</f>
        <v>открыть</v>
      </c>
      <c r="G20" s="2" t="str">
        <f>HYPERLINK("https://mediafasadomsk.com/surfaces/bb-10-let-oktyabrya-ul-193k2-svetofor-a-900.jpg","смотреть")</f>
        <v>смотреть</v>
      </c>
      <c r="H20">
        <v>54.98757792846917</v>
      </c>
      <c r="I20">
        <v>73.4337061643601</v>
      </c>
    </row>
    <row r="21">
      <c r="A21">
        <v>20</v>
      </c>
      <c r="B21" t="inlineStr">
        <is>
          <t xml:space="preserve">10 лет Октября, 195</t>
        </is>
      </c>
      <c r="C21" t="inlineStr">
        <is>
          <t xml:space="preserve">Цифровой билборд</t>
        </is>
      </c>
      <c r="D21" t="inlineStr">
        <is>
          <t xml:space="preserve">6×3</t>
        </is>
      </c>
      <c r="E21" t="inlineStr">
        <is>
          <t xml:space="preserve">A</t>
        </is>
      </c>
      <c r="F21" s="2" t="str">
        <f>HYPERLINK("https://yandex.ru/maps/?pt=73.438329,54.988603&amp;z=17","открыть")</f>
        <v>открыть</v>
      </c>
      <c r="G21" s="2" t="str">
        <f>HYPERLINK("https://mediafasadomsk.com/surfaces/bb-10-let-oktyabrya-ul-195-a-900.jpg","смотреть")</f>
        <v>смотреть</v>
      </c>
      <c r="H21">
        <v>54.988603</v>
      </c>
      <c r="I21">
        <v>73.438329</v>
      </c>
    </row>
    <row r="22">
      <c r="A22">
        <v>21</v>
      </c>
      <c r="B22" t="inlineStr">
        <is>
          <t xml:space="preserve">10 лет Октября, 195</t>
        </is>
      </c>
      <c r="C22" t="inlineStr">
        <is>
          <t xml:space="preserve">Билборд</t>
        </is>
      </c>
      <c r="D22" t="inlineStr">
        <is>
          <t xml:space="preserve">6×3</t>
        </is>
      </c>
      <c r="E22" t="inlineStr">
        <is>
          <t xml:space="preserve">B</t>
        </is>
      </c>
      <c r="F22" s="2" t="str">
        <f>HYPERLINK("https://yandex.ru/maps/?pt=73.438329,54.988603&amp;z=17","открыть")</f>
        <v>открыть</v>
      </c>
      <c r="G22" s="2" t="str">
        <f>HYPERLINK("https://mediafasadomsk.com/surfaces/bb-10-let-oktyabrya-ul-195-b-a-900.jpg","смотреть")</f>
        <v>смотреть</v>
      </c>
      <c r="H22">
        <v>54.988603</v>
      </c>
      <c r="I22">
        <v>73.438329</v>
      </c>
    </row>
    <row r="23">
      <c r="A23">
        <v>22</v>
      </c>
      <c r="B23" t="inlineStr">
        <is>
          <t xml:space="preserve">10 лет Октября, напротив дома 195 (светофор)</t>
        </is>
      </c>
      <c r="C23" t="inlineStr">
        <is>
          <t xml:space="preserve">Билборд</t>
        </is>
      </c>
      <c r="D23" t="inlineStr">
        <is>
          <t xml:space="preserve">6×3</t>
        </is>
      </c>
      <c r="E23" t="inlineStr">
        <is>
          <t xml:space="preserve">A, B</t>
        </is>
      </c>
      <c r="F23" s="2" t="str">
        <f>HYPERLINK("https://yandex.ru/maps/?pt=73.43824092999985,54.98824777999997&amp;z=17","открыть")</f>
        <v>открыть</v>
      </c>
      <c r="G23" s="2" t="str">
        <f>HYPERLINK("https://mediafasadomsk.com/surfaces/bb-10-let-oktyabrya-ul-195-naprotiv-svetofor-a-900.jpg","смотреть")</f>
        <v>смотреть</v>
      </c>
      <c r="H23">
        <v>54.98824777999997</v>
      </c>
      <c r="I23">
        <v>73.43824092999985</v>
      </c>
    </row>
    <row r="24">
      <c r="A24">
        <v>23</v>
      </c>
      <c r="B24" t="inlineStr">
        <is>
          <t xml:space="preserve">10 лет Октября, 213 (у пересечения с Окружной дорогой, светофор)</t>
        </is>
      </c>
      <c r="C24" t="inlineStr">
        <is>
          <t xml:space="preserve">Призматрон</t>
        </is>
      </c>
      <c r="D24" t="inlineStr">
        <is>
          <t xml:space="preserve">6×3</t>
        </is>
      </c>
      <c r="E24" t="inlineStr">
        <is>
          <t xml:space="preserve">A1, B1</t>
        </is>
      </c>
      <c r="F24" s="2" t="str">
        <f>HYPERLINK("https://yandex.ru/maps/?pt=73.47676685523268,54.991456550851204&amp;z=17","открыть")</f>
        <v>открыть</v>
      </c>
      <c r="G24" s="2" t="str">
        <f>HYPERLINK("https://mediafasadomsk.com/surfaces/bb-10-let-oktyabrya-ul-213-h-s-okruzhnoj-dorogoj-svetofor-a-900.jpg","смотреть")</f>
        <v>смотреть</v>
      </c>
      <c r="H24">
        <v>54.991456550851204</v>
      </c>
      <c r="I24">
        <v>73.47676685523268</v>
      </c>
    </row>
    <row r="25">
      <c r="A25">
        <v>24</v>
      </c>
      <c r="B25" t="inlineStr">
        <is>
          <t xml:space="preserve">Пересечение 10 лет Октября и 30 лет ВЛКСМ (дом 41)</t>
        </is>
      </c>
      <c r="C25" t="inlineStr">
        <is>
          <t xml:space="preserve">Билборд</t>
        </is>
      </c>
      <c r="D25" t="inlineStr">
        <is>
          <t xml:space="preserve">6×3</t>
        </is>
      </c>
      <c r="E25" t="inlineStr">
        <is>
          <t xml:space="preserve">A, B</t>
        </is>
      </c>
      <c r="F25" s="2" t="str">
        <f>HYPERLINK("https://yandex.ru/maps/?pt=73.391873,54.984795&amp;z=17","открыть")</f>
        <v>открыть</v>
      </c>
      <c r="G25" s="2" t="str">
        <f>HYPERLINK("https://mediafasadomsk.com/surfaces/bb-10-let-oktyabrya-ul-30-let-vlksm-ul-41-a-900.jpg","смотреть")</f>
        <v>смотреть</v>
      </c>
      <c r="H25">
        <v>54.984795</v>
      </c>
      <c r="I25">
        <v>73.391873</v>
      </c>
    </row>
    <row r="26">
      <c r="A26">
        <v>25</v>
      </c>
      <c r="B26" t="inlineStr">
        <is>
          <t xml:space="preserve">10 лет Октября, 31, до пересечения с улицей Маршала Жукова (светофор)</t>
        </is>
      </c>
      <c r="C26" t="inlineStr">
        <is>
          <t xml:space="preserve">Билборд</t>
        </is>
      </c>
      <c r="D26" t="inlineStr">
        <is>
          <t xml:space="preserve">6×3</t>
        </is>
      </c>
      <c r="E26" t="inlineStr">
        <is>
          <t xml:space="preserve">A, B</t>
        </is>
      </c>
      <c r="F26" s="2" t="str">
        <f>HYPERLINK("https://yandex.ru/maps/?pt=73.3878635916429,54.98447142095421&amp;z=17","открыть")</f>
        <v>открыть</v>
      </c>
      <c r="G26" s="2" t="str">
        <f>HYPERLINK("https://mediafasadomsk.com/surfaces/bb-10-let-oktyabrya-ul-31-do-h-s-ul-marshala-zhukova-svetofor-a-900.jpg","смотреть")</f>
        <v>смотреть</v>
      </c>
      <c r="H26">
        <v>54.98447142095421</v>
      </c>
      <c r="I26">
        <v>73.3878635916429</v>
      </c>
    </row>
    <row r="27">
      <c r="A27">
        <v>26</v>
      </c>
      <c r="B27" t="inlineStr">
        <is>
          <t xml:space="preserve">10 лет Октября, 43 (светофор)</t>
        </is>
      </c>
      <c r="C27" t="inlineStr">
        <is>
          <t xml:space="preserve">Цифровой билборд</t>
        </is>
      </c>
      <c r="D27" t="inlineStr">
        <is>
          <t xml:space="preserve">6×3</t>
        </is>
      </c>
      <c r="E27" t="inlineStr">
        <is>
          <t xml:space="preserve">A1, B1</t>
        </is>
      </c>
      <c r="F27" s="2" t="str">
        <f>HYPERLINK("https://yandex.ru/maps/?pt=73.39219999999987,54.98469999999999&amp;z=17","открыть")</f>
        <v>открыть</v>
      </c>
      <c r="G27" s="2" t="str">
        <f>HYPERLINK("https://mediafasadomsk.com/surfaces/bb-10-let-oktyabrya-ul-43-svetofor-a-900.jpg","смотреть")</f>
        <v>смотреть</v>
      </c>
      <c r="H27">
        <v>54.98469999999999</v>
      </c>
      <c r="I27">
        <v>73.39219999999987</v>
      </c>
    </row>
    <row r="28">
      <c r="A28">
        <v>27</v>
      </c>
      <c r="B28" t="inlineStr">
        <is>
          <t xml:space="preserve">10 лет Октября, 62 (у пересечения с улицей Куйбышева, светофор)</t>
        </is>
      </c>
      <c r="C28" t="inlineStr">
        <is>
          <t xml:space="preserve">Цифровой билборд</t>
        </is>
      </c>
      <c r="D28" t="inlineStr">
        <is>
          <t xml:space="preserve">6×3</t>
        </is>
      </c>
      <c r="E28" t="inlineStr">
        <is>
          <t xml:space="preserve">B1</t>
        </is>
      </c>
      <c r="F28" s="2" t="str">
        <f>HYPERLINK("https://yandex.ru/maps/?pt=73.39676946397056,54.98479081002069&amp;z=17","открыть")</f>
        <v>открыть</v>
      </c>
      <c r="G28" s="2" t="str">
        <f>HYPERLINK("https://mediafasadomsk.com/surfaces/bb-10-let-oktyabrya-ul-62-h-s-ul-kujbysheva-svetofor-a-900.jpg","смотреть")</f>
        <v>смотреть</v>
      </c>
      <c r="H28">
        <v>54.98479081002069</v>
      </c>
      <c r="I28">
        <v>73.39676946397056</v>
      </c>
    </row>
    <row r="29">
      <c r="A29">
        <v>28</v>
      </c>
      <c r="B29" t="inlineStr">
        <is>
          <t xml:space="preserve">10 лет Октября, 72 (у пересечения с улицей Куйбышева, светофор)</t>
        </is>
      </c>
      <c r="C29" t="inlineStr">
        <is>
          <t xml:space="preserve">Цифровой билборд</t>
        </is>
      </c>
      <c r="D29" t="inlineStr">
        <is>
          <t xml:space="preserve">6×3</t>
        </is>
      </c>
      <c r="E29" t="inlineStr">
        <is>
          <t xml:space="preserve">A1, B1</t>
        </is>
      </c>
      <c r="F29" s="2" t="str">
        <f>HYPERLINK("https://yandex.ru/maps/?pt=73.39734896976172,54.98485970483493&amp;z=17","открыть")</f>
        <v>открыть</v>
      </c>
      <c r="G29" s="2" t="str">
        <f>HYPERLINK("https://mediafasadomsk.com/surfaces/bb-10-let-oktyabrya-ul-72-h-s-ul-kujbysheva-svetofor-a-900.jpg","смотреть")</f>
        <v>смотреть</v>
      </c>
      <c r="H29">
        <v>54.98485970483493</v>
      </c>
      <c r="I29">
        <v>73.39734896976172</v>
      </c>
    </row>
    <row r="30">
      <c r="A30">
        <v>29</v>
      </c>
      <c r="B30" t="inlineStr">
        <is>
          <t xml:space="preserve">10 лет Октября, 96А (светофор, ТЦ «Квадро»)</t>
        </is>
      </c>
      <c r="C30" t="inlineStr">
        <is>
          <t xml:space="preserve">Билборд</t>
        </is>
      </c>
      <c r="D30" t="inlineStr">
        <is>
          <t xml:space="preserve">6×3</t>
        </is>
      </c>
      <c r="E30" t="inlineStr">
        <is>
          <t xml:space="preserve">A, B</t>
        </is>
      </c>
      <c r="F30" s="2" t="str">
        <f>HYPERLINK("https://yandex.ru/maps/?pt=73.40356268113659,54.985147556963476&amp;z=17","открыть")</f>
        <v>открыть</v>
      </c>
      <c r="G30" s="2" t="str">
        <f>HYPERLINK("https://mediafasadomsk.com/surfaces/bb-10-let-oktyabrya-ul-96a-svetofor-tc-kvadro-a-900.jpg","смотреть")</f>
        <v>смотреть</v>
      </c>
      <c r="H30">
        <v>54.985147556963476</v>
      </c>
      <c r="I30">
        <v>73.40356268113659</v>
      </c>
    </row>
    <row r="31">
      <c r="A31">
        <v>30</v>
      </c>
      <c r="B31" t="inlineStr">
        <is>
          <t xml:space="preserve">10 лет Октября, 190</t>
        </is>
      </c>
      <c r="C31" t="inlineStr">
        <is>
          <t xml:space="preserve">Билборд</t>
        </is>
      </c>
      <c r="D31" t="inlineStr">
        <is>
          <t xml:space="preserve">6×3</t>
        </is>
      </c>
      <c r="E31" t="inlineStr">
        <is>
          <t xml:space="preserve">A, B</t>
        </is>
      </c>
      <c r="F31" s="2" t="str">
        <f>HYPERLINK("https://yandex.ru/maps/?pt=73.486627,54.993527&amp;z=17","открыть")</f>
        <v>открыть</v>
      </c>
      <c r="G31" s="2" t="str">
        <f>HYPERLINK("https://mediafasadomsk.com/surfaces/bb-10-let-oktyabrya-ul-d-190-a-900.jpg","смотреть")</f>
        <v>смотреть</v>
      </c>
      <c r="H31">
        <v>54.993527</v>
      </c>
      <c r="I31">
        <v>73.486627</v>
      </c>
    </row>
    <row r="32">
      <c r="A32">
        <v>31</v>
      </c>
      <c r="B32" t="inlineStr">
        <is>
          <t xml:space="preserve">10 лет Октября, напротив дома 182</t>
        </is>
      </c>
      <c r="C32" t="inlineStr">
        <is>
          <t xml:space="preserve">Билборд</t>
        </is>
      </c>
      <c r="D32" t="inlineStr">
        <is>
          <t xml:space="preserve">6×3</t>
        </is>
      </c>
      <c r="E32" t="inlineStr">
        <is>
          <t xml:space="preserve">A, B</t>
        </is>
      </c>
      <c r="F32" s="2" t="str">
        <f>HYPERLINK("https://yandex.ru/maps/?pt=73.459857,54.989984&amp;z=17","открыть")</f>
        <v>открыть</v>
      </c>
      <c r="G32" s="2" t="str">
        <f>HYPERLINK("https://mediafasadomsk.com/surfaces/bb-10-let-oktyabrya-ul-naprotiv-d-182-a-900.jpg","смотреть")</f>
        <v>смотреть</v>
      </c>
      <c r="H32">
        <v>54.989984</v>
      </c>
      <c r="I32">
        <v>73.459857</v>
      </c>
    </row>
    <row r="33">
      <c r="A33">
        <v>32</v>
      </c>
      <c r="B33" t="inlineStr">
        <is>
          <t xml:space="preserve">20 лет РККА, 9</t>
        </is>
      </c>
      <c r="C33" t="inlineStr">
        <is>
          <t xml:space="preserve">Билборд</t>
        </is>
      </c>
      <c r="D33" t="inlineStr">
        <is>
          <t xml:space="preserve">6×3</t>
        </is>
      </c>
      <c r="E33" t="inlineStr">
        <is>
          <t xml:space="preserve">A, B</t>
        </is>
      </c>
      <c r="F33" s="2" t="str">
        <f>HYPERLINK("https://yandex.ru/maps/?pt=73.40321,54.976013&amp;z=17","открыть")</f>
        <v>открыть</v>
      </c>
      <c r="G33" s="2" t="str">
        <f>HYPERLINK("https://mediafasadomsk.com/surfaces/bb-20-let-rkka-ul-d-9-a-900.jpg","смотреть")</f>
        <v>смотреть</v>
      </c>
      <c r="H33">
        <v>54.976013</v>
      </c>
      <c r="I33">
        <v>73.40321</v>
      </c>
    </row>
    <row r="34">
      <c r="A34">
        <v>33</v>
      </c>
      <c r="B34" t="inlineStr">
        <is>
          <t xml:space="preserve">22 Апреля, 20А, пересечение с улицей Энергетиков (светофор)</t>
        </is>
      </c>
      <c r="C34" t="inlineStr">
        <is>
          <t xml:space="preserve">Билборд</t>
        </is>
      </c>
      <c r="D34" t="inlineStr">
        <is>
          <t xml:space="preserve">6×3</t>
        </is>
      </c>
      <c r="E34" t="inlineStr">
        <is>
          <t xml:space="preserve">B</t>
        </is>
      </c>
      <c r="F34" s="2" t="str">
        <f>HYPERLINK("https://yandex.ru/maps/?pt=73.2803975480453,55.04213887449634&amp;z=17","открыть")</f>
        <v>открыть</v>
      </c>
      <c r="G34" s="2" t="str">
        <f>HYPERLINK("https://mediafasadomsk.com/surfaces/bb-22-aprelya-ul-20a-h-s-ul-energetikov-svetofor-a-900.jpg","смотреть")</f>
        <v>смотреть</v>
      </c>
      <c r="H34">
        <v>55.04213887449634</v>
      </c>
      <c r="I34">
        <v>73.2803975480453</v>
      </c>
    </row>
    <row r="35">
      <c r="A35">
        <v>34</v>
      </c>
      <c r="B35" t="inlineStr">
        <is>
          <t xml:space="preserve">22 Апреля, 39/1</t>
        </is>
      </c>
      <c r="C35" t="inlineStr">
        <is>
          <t xml:space="preserve">Билборд</t>
        </is>
      </c>
      <c r="D35" t="inlineStr">
        <is>
          <t xml:space="preserve">6×3</t>
        </is>
      </c>
      <c r="E35" t="inlineStr">
        <is>
          <t xml:space="preserve">A, B</t>
        </is>
      </c>
      <c r="F35" s="2" t="str">
        <f>HYPERLINK("https://yandex.ru/maps/?pt=73.26730090910232,55.03864923736802&amp;z=17","открыть")</f>
        <v>открыть</v>
      </c>
      <c r="G35" s="2" t="str">
        <f>HYPERLINK("https://mediafasadomsk.com/surfaces/bb-22-aprelya-ul-39-1-a-900.jpg","смотреть")</f>
        <v>смотреть</v>
      </c>
      <c r="H35">
        <v>55.03864923736802</v>
      </c>
      <c r="I35">
        <v>73.26730090910232</v>
      </c>
    </row>
    <row r="36">
      <c r="A36">
        <v>35</v>
      </c>
      <c r="B36" t="inlineStr">
        <is>
          <t xml:space="preserve">22 Апреля, нечётная сторона, пересечение с улицей Нефтезаводская (светофор)</t>
        </is>
      </c>
      <c r="C36" t="inlineStr">
        <is>
          <t xml:space="preserve">Билборд</t>
        </is>
      </c>
      <c r="D36" t="inlineStr">
        <is>
          <t xml:space="preserve">6×3</t>
        </is>
      </c>
      <c r="E36" t="inlineStr">
        <is>
          <t xml:space="preserve">A, B</t>
        </is>
      </c>
      <c r="F36" s="2" t="str">
        <f>HYPERLINK("https://yandex.ru/maps/?pt=73.26520000000002,55.0381&amp;z=17","открыть")</f>
        <v>открыть</v>
      </c>
      <c r="G36" s="2" t="str">
        <f>HYPERLINK("https://mediafasadomsk.com/surfaces/bb-22-aprelya-ul-nechetnaya-storona-h-s-ul-neftezavodskaya-svetofor-a-900.jpg","смотреть")</f>
        <v>смотреть</v>
      </c>
      <c r="H36">
        <v>55.0381</v>
      </c>
      <c r="I36">
        <v>73.26520000000002</v>
      </c>
    </row>
    <row r="37">
      <c r="A37">
        <v>36</v>
      </c>
      <c r="B37" t="inlineStr">
        <is>
          <t xml:space="preserve">22 Декабря (развязка, напр. АЗС)</t>
        </is>
      </c>
      <c r="C37" t="inlineStr">
        <is>
          <t xml:space="preserve">Билборд</t>
        </is>
      </c>
      <c r="D37" t="inlineStr">
        <is>
          <t xml:space="preserve">6×3</t>
        </is>
      </c>
      <c r="E37" t="inlineStr">
        <is>
          <t xml:space="preserve">A, B</t>
        </is>
      </c>
      <c r="F37" s="2" t="str">
        <f>HYPERLINK("https://yandex.ru/maps/?pt=73.272157,54.95227&amp;z=17","открыть")</f>
        <v>открыть</v>
      </c>
      <c r="G37" s="2" t="str">
        <f>HYPERLINK("https://mediafasadomsk.com/surfaces/bb-22-dekabrya-razvyazka-napr-azs-a-900.jpg","смотреть")</f>
        <v>смотреть</v>
      </c>
      <c r="H37">
        <v>54.95227</v>
      </c>
      <c r="I37">
        <v>73.272157</v>
      </c>
    </row>
    <row r="38">
      <c r="A38">
        <v>37</v>
      </c>
      <c r="B38" t="inlineStr">
        <is>
          <t xml:space="preserve">22 Декабря, 92А</t>
        </is>
      </c>
      <c r="C38" t="inlineStr">
        <is>
          <t xml:space="preserve">Билборд</t>
        </is>
      </c>
      <c r="D38" t="inlineStr">
        <is>
          <t xml:space="preserve">6×3</t>
        </is>
      </c>
      <c r="E38" t="inlineStr">
        <is>
          <t xml:space="preserve">A, B</t>
        </is>
      </c>
      <c r="F38" s="2" t="str">
        <f>HYPERLINK("https://yandex.ru/maps/?pt=73.27830432748372,54.95021076350366&amp;z=17","открыть")</f>
        <v>открыть</v>
      </c>
      <c r="G38" s="2" t="str">
        <f>HYPERLINK("https://mediafasadomsk.com/surfaces/bb-22-dekabrya-ul-92a-a-900.jpg","смотреть")</f>
        <v>смотреть</v>
      </c>
      <c r="H38">
        <v>54.95021076350366</v>
      </c>
      <c r="I38">
        <v>73.27830432748372</v>
      </c>
    </row>
    <row r="39">
      <c r="A39">
        <v>38</v>
      </c>
      <c r="B39" t="inlineStr">
        <is>
          <t xml:space="preserve">22 декабря, напротив дома 98</t>
        </is>
      </c>
      <c r="C39" t="inlineStr">
        <is>
          <t xml:space="preserve">Билборд</t>
        </is>
      </c>
      <c r="D39" t="inlineStr">
        <is>
          <t xml:space="preserve">6×3</t>
        </is>
      </c>
      <c r="E39" t="inlineStr">
        <is>
          <t xml:space="preserve">A, B</t>
        </is>
      </c>
      <c r="F39" s="2" t="str">
        <f>HYPERLINK("https://yandex.ru/maps/?pt=73.275917,54.95074&amp;z=17","открыть")</f>
        <v>открыть</v>
      </c>
      <c r="G39" s="2" t="str">
        <f>HYPERLINK("https://mediafasadomsk.com/surfaces/bb-22-dekabrya-ul-naprotiv-d-98-a-900.jpg","смотреть")</f>
        <v>смотреть</v>
      </c>
      <c r="H39">
        <v>54.95074</v>
      </c>
      <c r="I39">
        <v>73.275917</v>
      </c>
    </row>
    <row r="40">
      <c r="A40">
        <v>39</v>
      </c>
      <c r="B40" t="inlineStr">
        <is>
          <t xml:space="preserve">4-я Челюскинцев, 6</t>
        </is>
      </c>
      <c r="C40" t="inlineStr">
        <is>
          <t xml:space="preserve">Билборд</t>
        </is>
      </c>
      <c r="D40" t="inlineStr">
        <is>
          <t xml:space="preserve">6×3</t>
        </is>
      </c>
      <c r="E40" t="inlineStr">
        <is>
          <t xml:space="preserve">A, B</t>
        </is>
      </c>
      <c r="F40" s="2" t="str">
        <f>HYPERLINK("https://yandex.ru/maps/?pt=73.419071,55.01053&amp;z=17","открыть")</f>
        <v>открыть</v>
      </c>
      <c r="G40" s="2" t="str">
        <f>HYPERLINK("https://mediafasadomsk.com/surfaces/bb-4-ya-chelyuskincev-d-6-a-900.jpg","смотреть")</f>
        <v>смотреть</v>
      </c>
      <c r="H40">
        <v>55.01053</v>
      </c>
      <c r="I40">
        <v>73.419071</v>
      </c>
    </row>
    <row r="41">
      <c r="A41">
        <v>40</v>
      </c>
      <c r="B41" t="inlineStr">
        <is>
          <t xml:space="preserve">50 лет Октября, напротив дома 98</t>
        </is>
      </c>
      <c r="C41" t="inlineStr">
        <is>
          <t xml:space="preserve">Билборд</t>
        </is>
      </c>
      <c r="D41" t="inlineStr">
        <is>
          <t xml:space="preserve">6×3</t>
        </is>
      </c>
      <c r="E41" t="inlineStr">
        <is>
          <t xml:space="preserve">A</t>
        </is>
      </c>
      <c r="F41" s="2" t="str">
        <f>HYPERLINK("https://yandex.ru/maps/?pt=73.2496000000001,55.03089999999997&amp;z=17","открыть")</f>
        <v>открыть</v>
      </c>
      <c r="G41" s="2" t="str">
        <f>HYPERLINK("https://mediafasadomsk.com/surfaces/bb-50-let-oktyabrya-ul-98-naprotiv-a-900.jpg","смотреть")</f>
        <v>смотреть</v>
      </c>
      <c r="H41">
        <v>55.03089999999997</v>
      </c>
      <c r="I41">
        <v>73.2496000000001</v>
      </c>
    </row>
    <row r="42">
      <c r="A42">
        <v>41</v>
      </c>
      <c r="B42" t="inlineStr">
        <is>
          <t xml:space="preserve">60 лет Победы, центральная разделительная полоса, съезд с Тюкалинской развязки</t>
        </is>
      </c>
      <c r="C42" t="inlineStr">
        <is>
          <t xml:space="preserve">Цифровой билборд</t>
        </is>
      </c>
      <c r="D42" t="inlineStr">
        <is>
          <t xml:space="preserve">6×3</t>
        </is>
      </c>
      <c r="E42" t="inlineStr">
        <is>
          <t xml:space="preserve">A1</t>
        </is>
      </c>
      <c r="F42" s="2" t="str">
        <f>HYPERLINK("https://yandex.ru/maps/?pt=73.34716244000013,54.962221409999984&amp;z=17","открыть")</f>
        <v>открыть</v>
      </c>
      <c r="G42" s="2" t="str">
        <f>HYPERLINK("https://mediafasadomsk.com/surfaces/bb-60-let-pobedy-ul-crp-sezd-s-tyukalinskoj-razvyazki-a-900.jpg","смотреть")</f>
        <v>смотреть</v>
      </c>
      <c r="H42">
        <v>54.962221409999984</v>
      </c>
      <c r="I42">
        <v>73.34716244000013</v>
      </c>
    </row>
    <row r="43">
      <c r="A43">
        <v>42</v>
      </c>
      <c r="B43" t="inlineStr">
        <is>
          <t xml:space="preserve">60 лет Победы, центральная разделительная полоса, въезд на Тюкалинскую развязку</t>
        </is>
      </c>
      <c r="C43" t="inlineStr">
        <is>
          <t xml:space="preserve">Цифровой билборд</t>
        </is>
      </c>
      <c r="D43" t="inlineStr">
        <is>
          <t xml:space="preserve">6×3</t>
        </is>
      </c>
      <c r="E43" t="inlineStr">
        <is>
          <t xml:space="preserve">A2</t>
        </is>
      </c>
      <c r="F43" s="2" t="str">
        <f>HYPERLINK("https://yandex.ru/maps/?pt=73.34716244000013,54.962221409999984&amp;z=17","открыть")</f>
        <v>открыть</v>
      </c>
      <c r="G43" s="2" t="str">
        <f>HYPERLINK("https://mediafasadomsk.com/surfaces/bb-60-let-pobedy-ul-crp-vezd-na-tyukalinskuyu-razvyazku-a-900.jpg","смотреть")</f>
        <v>смотреть</v>
      </c>
      <c r="H43">
        <v>54.962221409999984</v>
      </c>
      <c r="I43">
        <v>73.34716244000013</v>
      </c>
    </row>
    <row r="44">
      <c r="A44">
        <v>43</v>
      </c>
      <c r="B44" t="inlineStr">
        <is>
          <t xml:space="preserve">60 лет Победы, 14</t>
        </is>
      </c>
      <c r="C44" t="inlineStr">
        <is>
          <t xml:space="preserve">Билборд</t>
        </is>
      </c>
      <c r="D44" t="inlineStr">
        <is>
          <t xml:space="preserve">6×3</t>
        </is>
      </c>
      <c r="E44" t="inlineStr">
        <is>
          <t xml:space="preserve">A, B</t>
        </is>
      </c>
      <c r="F44" s="2" t="str">
        <f>HYPERLINK("https://yandex.ru/maps/?pt=73.342476,54.955561&amp;z=17","открыть")</f>
        <v>открыть</v>
      </c>
      <c r="G44" s="2" t="str">
        <f>HYPERLINK("https://mediafasadomsk.com/surfaces/bb-60-let-pobedy-ul-d-14-a-900.jpg","смотреть")</f>
        <v>смотреть</v>
      </c>
      <c r="H44">
        <v>54.955561</v>
      </c>
      <c r="I44">
        <v>73.342476</v>
      </c>
    </row>
    <row r="45">
      <c r="A45">
        <v>44</v>
      </c>
      <c r="B45" t="inlineStr">
        <is>
          <t xml:space="preserve">70 лет Октября, 10 (светофор)</t>
        </is>
      </c>
      <c r="C45" t="inlineStr">
        <is>
          <t xml:space="preserve">Билборд</t>
        </is>
      </c>
      <c r="D45" t="inlineStr">
        <is>
          <t xml:space="preserve">6×3</t>
        </is>
      </c>
      <c r="E45" t="inlineStr">
        <is>
          <t xml:space="preserve">A, B</t>
        </is>
      </c>
      <c r="F45" s="2" t="str">
        <f>HYPERLINK("https://yandex.ru/maps/?pt=73.31039422817209,54.98657230856508&amp;z=17","открыть")</f>
        <v>открыть</v>
      </c>
      <c r="G45" s="2" t="str">
        <f>HYPERLINK("https://mediafasadomsk.com/surfaces/bb-70-let-oktyabrya-ul-10-svetofor-a-900.jpg","смотреть")</f>
        <v>смотреть</v>
      </c>
      <c r="H45">
        <v>54.98657230856508</v>
      </c>
      <c r="I45">
        <v>73.31039422817209</v>
      </c>
    </row>
    <row r="46">
      <c r="A46">
        <v>45</v>
      </c>
      <c r="B46" t="inlineStr">
        <is>
          <t xml:space="preserve">70 лет Октября, 12</t>
        </is>
      </c>
      <c r="C46" t="inlineStr">
        <is>
          <t xml:space="preserve">Билборд</t>
        </is>
      </c>
      <c r="D46" t="inlineStr">
        <is>
          <t xml:space="preserve">6×3</t>
        </is>
      </c>
      <c r="E46" t="inlineStr">
        <is>
          <t xml:space="preserve">A, B</t>
        </is>
      </c>
      <c r="F46" s="2" t="str">
        <f>HYPERLINK("https://yandex.ru/maps/?pt=73.31227713889982,54.985759729247405&amp;z=17","открыть")</f>
        <v>открыть</v>
      </c>
      <c r="G46" s="2" t="str">
        <f>HYPERLINK("https://mediafasadomsk.com/surfaces/bb-70-let-oktyabrya-ul-12-a-900.jpg","смотреть")</f>
        <v>смотреть</v>
      </c>
      <c r="H46">
        <v>54.985759729247405</v>
      </c>
      <c r="I46">
        <v>73.31227713889982</v>
      </c>
    </row>
    <row r="47">
      <c r="A47">
        <v>46</v>
      </c>
      <c r="B47" t="inlineStr">
        <is>
          <t xml:space="preserve">70 лет Октября, 13/4</t>
        </is>
      </c>
      <c r="C47" t="inlineStr">
        <is>
          <t xml:space="preserve">Билборд</t>
        </is>
      </c>
      <c r="D47" t="inlineStr">
        <is>
          <t xml:space="preserve">6×3</t>
        </is>
      </c>
      <c r="E47" t="inlineStr">
        <is>
          <t xml:space="preserve">A, B</t>
        </is>
      </c>
      <c r="F47" s="2" t="str">
        <f>HYPERLINK("https://yandex.ru/maps/?pt=73.31530000000008,54.984199999999994&amp;z=17","открыть")</f>
        <v>открыть</v>
      </c>
      <c r="G47" s="2" t="str">
        <f>HYPERLINK("https://mediafasadomsk.com/surfaces/bb-70-let-oktyabrya-ul-13-4-a-900.jpg","смотреть")</f>
        <v>смотреть</v>
      </c>
      <c r="H47">
        <v>54.984199999999994</v>
      </c>
      <c r="I47">
        <v>73.31530000000008</v>
      </c>
    </row>
    <row r="48">
      <c r="A48">
        <v>47</v>
      </c>
      <c r="B48" t="inlineStr">
        <is>
          <t xml:space="preserve">70 лет Октября, 14/1</t>
        </is>
      </c>
      <c r="C48" t="inlineStr">
        <is>
          <t xml:space="preserve">Цифровой билборд</t>
        </is>
      </c>
      <c r="D48" t="inlineStr">
        <is>
          <t xml:space="preserve">6×3</t>
        </is>
      </c>
      <c r="E48" t="inlineStr">
        <is>
          <t xml:space="preserve">A1, B1</t>
        </is>
      </c>
      <c r="F48" s="2" t="str">
        <f>HYPERLINK("https://yandex.ru/maps/?pt=73.31551231581933,54.984357423848&amp;z=17","открыть")</f>
        <v>открыть</v>
      </c>
      <c r="G48" s="2" t="str">
        <f>HYPERLINK("https://mediafasadomsk.com/surfaces/bb-70-let-oktyabrya-ul-14-1-a-900.jpg","смотреть")</f>
        <v>смотреть</v>
      </c>
      <c r="H48">
        <v>54.984357423848</v>
      </c>
      <c r="I48">
        <v>73.31551231581933</v>
      </c>
    </row>
    <row r="49">
      <c r="A49">
        <v>48</v>
      </c>
      <c r="B49" t="inlineStr">
        <is>
          <t xml:space="preserve">70 лет Октября, 15 (светофор, ТЦ «Festival City»)</t>
        </is>
      </c>
      <c r="C49" t="inlineStr">
        <is>
          <t xml:space="preserve">Билборд</t>
        </is>
      </c>
      <c r="D49" t="inlineStr">
        <is>
          <t xml:space="preserve">6×3</t>
        </is>
      </c>
      <c r="E49" t="inlineStr">
        <is>
          <t xml:space="preserve">A, B</t>
        </is>
      </c>
      <c r="F49" s="2" t="str">
        <f>HYPERLINK("https://yandex.ru/maps/?pt=73.31839807605753,54.982858421816374&amp;z=17","открыть")</f>
        <v>открыть</v>
      </c>
      <c r="G49" s="2" t="str">
        <f>HYPERLINK("https://mediafasadomsk.com/surfaces/bb-70-let-oktyabrya-ul-15-svetofor-tc-festival-city-a-900.jpg","смотреть")</f>
        <v>смотреть</v>
      </c>
      <c r="H49">
        <v>54.982858421816374</v>
      </c>
      <c r="I49">
        <v>73.31839807605753</v>
      </c>
    </row>
    <row r="50">
      <c r="A50">
        <v>49</v>
      </c>
      <c r="B50" t="inlineStr">
        <is>
          <t xml:space="preserve">70 лет Октября, 18</t>
        </is>
      </c>
      <c r="C50" t="inlineStr">
        <is>
          <t xml:space="preserve">Билборд</t>
        </is>
      </c>
      <c r="D50" t="inlineStr">
        <is>
          <t xml:space="preserve">6×3</t>
        </is>
      </c>
      <c r="E50" t="inlineStr">
        <is>
          <t xml:space="preserve">A, B</t>
        </is>
      </c>
      <c r="F50" s="2" t="str">
        <f>HYPERLINK("https://yandex.ru/maps/?pt=73.318329,54.983183&amp;z=17","открыть")</f>
        <v>открыть</v>
      </c>
      <c r="G50" s="2" t="str">
        <f>HYPERLINK("https://mediafasadomsk.com/surfaces/bb-70-let-oktyabrya-ul-18-a-900.jpg","смотреть")</f>
        <v>смотреть</v>
      </c>
      <c r="H50">
        <v>54.983183</v>
      </c>
      <c r="I50">
        <v>73.318329</v>
      </c>
    </row>
    <row r="51">
      <c r="A51">
        <v>50</v>
      </c>
      <c r="B51" t="inlineStr">
        <is>
          <t xml:space="preserve">70 лет Октября, 19/7 (у пересечения с улицей Конева, светофор, ТЦ «Festival City»)</t>
        </is>
      </c>
      <c r="C51" t="inlineStr">
        <is>
          <t xml:space="preserve">Призматрон</t>
        </is>
      </c>
      <c r="D51" t="inlineStr">
        <is>
          <t xml:space="preserve">6×3</t>
        </is>
      </c>
      <c r="E51" t="inlineStr">
        <is>
          <t xml:space="preserve">A1, B1</t>
        </is>
      </c>
      <c r="F51" s="2" t="str">
        <f>HYPERLINK("https://yandex.ru/maps/?pt=73.32294173813331,54.980937660244614&amp;z=17","открыть")</f>
        <v>открыть</v>
      </c>
      <c r="G51" s="2" t="str">
        <f>HYPERLINK("https://mediafasadomsk.com/surfaces/bb-70-let-oktyabrya-ul-19-7-h-s-ul-koneva-svetofor-tc-festival-city-a-900.jpg","смотреть")</f>
        <v>смотреть</v>
      </c>
      <c r="H51">
        <v>54.980937660244614</v>
      </c>
      <c r="I51">
        <v>73.32294173813331</v>
      </c>
    </row>
    <row r="52">
      <c r="A52">
        <v>51</v>
      </c>
      <c r="B52" t="inlineStr">
        <is>
          <t xml:space="preserve">70 лет Октября, 19 (ТЦ «Festival City»)</t>
        </is>
      </c>
      <c r="C52" t="inlineStr">
        <is>
          <t xml:space="preserve">Билборд</t>
        </is>
      </c>
      <c r="D52" t="inlineStr">
        <is>
          <t xml:space="preserve">6×3</t>
        </is>
      </c>
      <c r="E52" t="inlineStr">
        <is>
          <t xml:space="preserve">A, B</t>
        </is>
      </c>
      <c r="F52" s="2" t="str">
        <f>HYPERLINK("https://yandex.ru/maps/?pt=73.32099999999987,54.98169999999998&amp;z=17","открыть")</f>
        <v>открыть</v>
      </c>
      <c r="G52" s="2" t="str">
        <f>HYPERLINK("https://mediafasadomsk.com/surfaces/bb-70-let-oktyabrya-ul-19-tc-festival-city-a-900.jpg","смотреть")</f>
        <v>смотреть</v>
      </c>
      <c r="H52">
        <v>54.98169999999998</v>
      </c>
      <c r="I52">
        <v>73.32099999999987</v>
      </c>
    </row>
    <row r="53">
      <c r="A53">
        <v>52</v>
      </c>
      <c r="B53" t="inlineStr">
        <is>
          <t xml:space="preserve">70 лет Октября, 20 (ТЦ «Festival City»)</t>
        </is>
      </c>
      <c r="C53" t="inlineStr">
        <is>
          <t xml:space="preserve">Билборд</t>
        </is>
      </c>
      <c r="D53" t="inlineStr">
        <is>
          <t xml:space="preserve">6×3</t>
        </is>
      </c>
      <c r="E53" t="inlineStr">
        <is>
          <t xml:space="preserve">A, B</t>
        </is>
      </c>
      <c r="F53" s="2" t="str">
        <f>HYPERLINK("https://yandex.ru/maps/?pt=73.32109637833123,54.98198121614229&amp;z=17","открыть")</f>
        <v>открыть</v>
      </c>
      <c r="G53" s="2" t="str">
        <f>HYPERLINK("https://mediafasadomsk.com/surfaces/bb-70-let-oktyabrya-ul-20-tc-festival-city-a-900.jpg","смотреть")</f>
        <v>смотреть</v>
      </c>
      <c r="H53">
        <v>54.98198121614229</v>
      </c>
      <c r="I53">
        <v>73.32109637833123</v>
      </c>
    </row>
    <row r="54">
      <c r="A54">
        <v>53</v>
      </c>
      <c r="B54" t="inlineStr">
        <is>
          <t xml:space="preserve">70 лет Октября, 25/2 (светофор, на съезде к ТЦ «Континент»)</t>
        </is>
      </c>
      <c r="C54" t="inlineStr">
        <is>
          <t xml:space="preserve">Цифровой билборд</t>
        </is>
      </c>
      <c r="D54" t="inlineStr">
        <is>
          <t xml:space="preserve">6×3</t>
        </is>
      </c>
      <c r="E54" t="inlineStr">
        <is>
          <t xml:space="preserve">A1, B1</t>
        </is>
      </c>
      <c r="F54" s="2" t="str">
        <f>HYPERLINK("https://yandex.ru/maps/?pt=73.32755506000011,54.97858341999997&amp;z=17","открыть")</f>
        <v>открыть</v>
      </c>
      <c r="G54" s="2" t="str">
        <f>HYPERLINK("https://mediafasadomsk.com/surfaces/bb-70-let-oktyabrya-ul-25k2-na-sezde-k-tc-kontinent-svetofor-a-900.jpg","смотреть")</f>
        <v>смотреть</v>
      </c>
      <c r="H54">
        <v>54.97858341999997</v>
      </c>
      <c r="I54">
        <v>73.32755506000011</v>
      </c>
    </row>
    <row r="55">
      <c r="A55">
        <v>54</v>
      </c>
      <c r="B55" t="inlineStr">
        <is>
          <t xml:space="preserve">70 лет Октября, 25/2 (светофор, ТЦ «Континент»)</t>
        </is>
      </c>
      <c r="C55" t="inlineStr">
        <is>
          <t xml:space="preserve">Цифровой билборд</t>
        </is>
      </c>
      <c r="D55" t="inlineStr">
        <is>
          <t xml:space="preserve">6×3</t>
        </is>
      </c>
      <c r="E55" t="inlineStr">
        <is>
          <t xml:space="preserve">B1</t>
        </is>
      </c>
      <c r="F55" s="2" t="str">
        <f>HYPERLINK("https://yandex.ru/maps/?pt=73.32770526370506,54.978926654884226&amp;z=17","открыть")</f>
        <v>открыть</v>
      </c>
      <c r="G55" s="2" t="str">
        <f>HYPERLINK("https://mediafasadomsk.com/surfaces/bb-70-let-oktyabrya-ul-25k2-svetofor-tc-kontinent-a-900.jpg","смотреть")</f>
        <v>смотреть</v>
      </c>
      <c r="H55">
        <v>54.978926654884226</v>
      </c>
      <c r="I55">
        <v>73.32770526370506</v>
      </c>
    </row>
    <row r="56">
      <c r="A56">
        <v>55</v>
      </c>
      <c r="B56" t="inlineStr">
        <is>
          <t xml:space="preserve">70 лет Октября, 25/2 (светофор, ТЦ «Континент»)</t>
        </is>
      </c>
      <c r="C56" t="inlineStr">
        <is>
          <t xml:space="preserve">Билборд</t>
        </is>
      </c>
      <c r="D56" t="inlineStr">
        <is>
          <t xml:space="preserve">6×3</t>
        </is>
      </c>
      <c r="E56" t="inlineStr">
        <is>
          <t xml:space="preserve">A</t>
        </is>
      </c>
      <c r="F56" s="2" t="str">
        <f>HYPERLINK("https://yandex.ru/maps/?pt=73.32770526370506,54.978926654884226&amp;z=17","открыть")</f>
        <v>открыть</v>
      </c>
      <c r="G56" s="2" t="str">
        <f>HYPERLINK("https://mediafasadomsk.com/surfaces/bb-70-let-oktyabrya-ul-25k2-svetofor-tc-kontinent-a-a-900.jpg","смотреть")</f>
        <v>смотреть</v>
      </c>
      <c r="H56">
        <v>54.978926654884226</v>
      </c>
      <c r="I56">
        <v>73.32770526370506</v>
      </c>
    </row>
    <row r="57">
      <c r="A57">
        <v>56</v>
      </c>
      <c r="B57" t="inlineStr">
        <is>
          <t xml:space="preserve">70 лет Октября, 25В</t>
        </is>
      </c>
      <c r="C57" t="inlineStr">
        <is>
          <t xml:space="preserve">Билборд</t>
        </is>
      </c>
      <c r="D57" t="inlineStr">
        <is>
          <t xml:space="preserve">6×3</t>
        </is>
      </c>
      <c r="E57" t="inlineStr">
        <is>
          <t xml:space="preserve">A, B</t>
        </is>
      </c>
      <c r="F57" s="2" t="str">
        <f>HYPERLINK("https://yandex.ru/maps/?pt=73.338676,54.977156&amp;z=17","открыть")</f>
        <v>открыть</v>
      </c>
      <c r="G57" s="2" t="str">
        <f>HYPERLINK("https://mediafasadomsk.com/surfaces/bb-70-let-oktyabrya-ul-25v-a-900.jpg","смотреть")</f>
        <v>смотреть</v>
      </c>
      <c r="H57">
        <v>54.977156</v>
      </c>
      <c r="I57">
        <v>73.338676</v>
      </c>
    </row>
    <row r="58">
      <c r="A58">
        <v>57</v>
      </c>
      <c r="B58" t="inlineStr">
        <is>
          <t xml:space="preserve">70 лет Октября, 25Ж</t>
        </is>
      </c>
      <c r="C58" t="inlineStr">
        <is>
          <t xml:space="preserve">Билборд</t>
        </is>
      </c>
      <c r="D58" t="inlineStr">
        <is>
          <t xml:space="preserve">6×3</t>
        </is>
      </c>
      <c r="E58" t="inlineStr">
        <is>
          <t xml:space="preserve">A, B</t>
        </is>
      </c>
      <c r="F58" s="2" t="str">
        <f>HYPERLINK("https://yandex.ru/maps/?pt=73.339113,54.978559&amp;z=17","открыть")</f>
        <v>открыть</v>
      </c>
      <c r="G58" s="2" t="str">
        <f>HYPERLINK("https://mediafasadomsk.com/surfaces/bb-70-let-oktyabrya-ul-25zh-a-900.jpg","смотреть")</f>
        <v>смотреть</v>
      </c>
      <c r="H58">
        <v>54.978559</v>
      </c>
      <c r="I58">
        <v>73.339113</v>
      </c>
    </row>
    <row r="59">
      <c r="A59">
        <v>58</v>
      </c>
      <c r="B59" t="inlineStr">
        <is>
          <t xml:space="preserve">70 лет Октября, 26 (у пересечения с улицей Конева, светофор, ТЦ «Festival City»)</t>
        </is>
      </c>
      <c r="C59" t="inlineStr">
        <is>
          <t xml:space="preserve">Цифровой билборд</t>
        </is>
      </c>
      <c r="D59" t="inlineStr">
        <is>
          <t xml:space="preserve">6×3</t>
        </is>
      </c>
      <c r="E59" t="inlineStr">
        <is>
          <t xml:space="preserve">A1, B1</t>
        </is>
      </c>
      <c r="F59" s="2" t="str">
        <f>HYPERLINK("https://yandex.ru/maps/?pt=73.32342714071281,54.98101232382638&amp;z=17","открыть")</f>
        <v>открыть</v>
      </c>
      <c r="G59" s="2" t="str">
        <f>HYPERLINK("https://mediafasadomsk.com/surfaces/bb-70-let-oktyabrya-ul-26-h-s-ul-koneva-svetofor-tc-festival-city-a-900.jpg","смотреть")</f>
        <v>смотреть</v>
      </c>
      <c r="H59">
        <v>54.98101232382638</v>
      </c>
      <c r="I59">
        <v>73.32342714071281</v>
      </c>
    </row>
    <row r="60">
      <c r="A60">
        <v>59</v>
      </c>
      <c r="B60" t="inlineStr">
        <is>
          <t xml:space="preserve">70 лет Октября, 27 (ТЦ «Континент»)</t>
        </is>
      </c>
      <c r="C60" t="inlineStr">
        <is>
          <t xml:space="preserve">Билборд</t>
        </is>
      </c>
      <c r="D60" t="inlineStr">
        <is>
          <t xml:space="preserve">6×3</t>
        </is>
      </c>
      <c r="E60" t="inlineStr">
        <is>
          <t xml:space="preserve">A, B</t>
        </is>
      </c>
      <c r="F60" s="2" t="str">
        <f>HYPERLINK("https://yandex.ru/maps/?pt=73.33326740608186,54.97827540333739&amp;z=17","открыть")</f>
        <v>открыть</v>
      </c>
      <c r="G60" s="2" t="str">
        <f>HYPERLINK("https://mediafasadomsk.com/surfaces/bb-70-let-oktyabrya-ul-27-tc-kontinent-a-900.jpg","смотреть")</f>
        <v>смотреть</v>
      </c>
      <c r="H60">
        <v>54.97827540333739</v>
      </c>
      <c r="I60">
        <v>73.33326740608186</v>
      </c>
    </row>
    <row r="61">
      <c r="A61">
        <v>60</v>
      </c>
      <c r="B61" t="inlineStr">
        <is>
          <t xml:space="preserve">70 лет Октября, 30/1 (светофор, ТЦ «Континент»)</t>
        </is>
      </c>
      <c r="C61" t="inlineStr">
        <is>
          <t xml:space="preserve">Билборд</t>
        </is>
      </c>
      <c r="D61" t="inlineStr">
        <is>
          <t xml:space="preserve">6×3</t>
        </is>
      </c>
      <c r="E61" t="inlineStr">
        <is>
          <t xml:space="preserve">A, B</t>
        </is>
      </c>
      <c r="F61" s="2" t="str">
        <f>HYPERLINK("https://yandex.ru/maps/?pt=73.33168950234717,54.9786193756534&amp;z=17","открыть")</f>
        <v>открыть</v>
      </c>
      <c r="G61" s="2" t="str">
        <f>HYPERLINK("https://mediafasadomsk.com/surfaces/bb-70-let-oktyabrya-ul-30-1-svetofor-tc-kontinent-a-900.jpg","смотреть")</f>
        <v>смотреть</v>
      </c>
      <c r="H61">
        <v>54.9786193756534</v>
      </c>
      <c r="I61">
        <v>73.33168950234717</v>
      </c>
    </row>
    <row r="62">
      <c r="A62">
        <v>61</v>
      </c>
      <c r="B62" t="inlineStr">
        <is>
          <t xml:space="preserve">70 лет Октября, напротив дома 38 (светофор)</t>
        </is>
      </c>
      <c r="C62" t="inlineStr">
        <is>
          <t xml:space="preserve">Билборд</t>
        </is>
      </c>
      <c r="D62" t="inlineStr">
        <is>
          <t xml:space="preserve">6×3</t>
        </is>
      </c>
      <c r="E62" t="inlineStr">
        <is>
          <t xml:space="preserve">A, B</t>
        </is>
      </c>
      <c r="F62" s="2" t="str">
        <f>HYPERLINK("https://yandex.ru/maps/?pt=73.33704827203277,54.977975119884114&amp;z=17","открыть")</f>
        <v>открыть</v>
      </c>
      <c r="G62" s="2" t="str">
        <f>HYPERLINK("https://mediafasadomsk.com/surfaces/bb-70-let-oktyabrya-ul-38-naprotiv-svetofor-a-900.jpg","смотреть")</f>
        <v>смотреть</v>
      </c>
      <c r="H62">
        <v>54.977975119884114</v>
      </c>
      <c r="I62">
        <v>73.33704827203277</v>
      </c>
    </row>
    <row r="63">
      <c r="A63">
        <v>62</v>
      </c>
      <c r="B63" t="inlineStr">
        <is>
          <t xml:space="preserve">70 лет Октября, 38 (светофор)</t>
        </is>
      </c>
      <c r="C63" t="inlineStr">
        <is>
          <t xml:space="preserve">Цифровой билборд</t>
        </is>
      </c>
      <c r="D63" t="inlineStr">
        <is>
          <t xml:space="preserve">6×3</t>
        </is>
      </c>
      <c r="E63" t="inlineStr">
        <is>
          <t xml:space="preserve">A1, B1</t>
        </is>
      </c>
      <c r="F63" s="2" t="str">
        <f>HYPERLINK("https://yandex.ru/maps/?pt=73.33759220928697,54.97814762340977&amp;z=17","открыть")</f>
        <v>открыть</v>
      </c>
      <c r="G63" s="2" t="str">
        <f>HYPERLINK("https://mediafasadomsk.com/surfaces/bb-70-let-oktyabrya-ul-38-svetofor-a-900.jpg","смотреть")</f>
        <v>смотреть</v>
      </c>
      <c r="H63">
        <v>54.97814762340977</v>
      </c>
      <c r="I63">
        <v>73.33759220928697</v>
      </c>
    </row>
    <row r="64">
      <c r="A64">
        <v>63</v>
      </c>
      <c r="B64" t="inlineStr">
        <is>
          <t xml:space="preserve">70 лет Октября, 5</t>
        </is>
      </c>
      <c r="C64" t="inlineStr">
        <is>
          <t xml:space="preserve">Билборд</t>
        </is>
      </c>
      <c r="D64" t="inlineStr">
        <is>
          <t xml:space="preserve">6×3</t>
        </is>
      </c>
      <c r="E64" t="inlineStr">
        <is>
          <t xml:space="preserve">A, B</t>
        </is>
      </c>
      <c r="F64" s="2" t="str">
        <f>HYPERLINK("https://yandex.ru/maps/?pt=73.30943701959434,54.98669971213409&amp;z=17","открыть")</f>
        <v>открыть</v>
      </c>
      <c r="G64" s="2" t="str">
        <f>HYPERLINK("https://mediafasadomsk.com/surfaces/bb-70-let-oktyabrya-ul-5-a-900.jpg","смотреть")</f>
        <v>смотреть</v>
      </c>
      <c r="H64">
        <v>54.98669971213409</v>
      </c>
      <c r="I64">
        <v>73.30943701959434</v>
      </c>
    </row>
    <row r="65">
      <c r="A65">
        <v>64</v>
      </c>
      <c r="B65" t="inlineStr">
        <is>
          <t xml:space="preserve">70 лет Октября, 6</t>
        </is>
      </c>
      <c r="C65" t="inlineStr">
        <is>
          <t xml:space="preserve">Билборд</t>
        </is>
      </c>
      <c r="D65" t="inlineStr">
        <is>
          <t xml:space="preserve">6×3</t>
        </is>
      </c>
      <c r="E65" t="inlineStr">
        <is>
          <t xml:space="preserve">A, B</t>
        </is>
      </c>
      <c r="F65" s="2" t="str">
        <f>HYPERLINK("https://yandex.ru/maps/?pt=73.307383,54.987829&amp;z=17","открыть")</f>
        <v>открыть</v>
      </c>
      <c r="G65" s="2" t="str">
        <f>HYPERLINK("https://mediafasadomsk.com/surfaces/bb-70-let-oktyabrya-ul-6-a-900.jpg","смотреть")</f>
        <v>смотреть</v>
      </c>
      <c r="H65">
        <v>54.987829</v>
      </c>
      <c r="I65">
        <v>73.307383</v>
      </c>
    </row>
    <row r="66">
      <c r="A66">
        <v>65</v>
      </c>
      <c r="B66" t="inlineStr">
        <is>
          <t xml:space="preserve">70 лет Октября, 7</t>
        </is>
      </c>
      <c r="C66" t="inlineStr">
        <is>
          <t xml:space="preserve">Цифровой билборд</t>
        </is>
      </c>
      <c r="D66" t="inlineStr">
        <is>
          <t xml:space="preserve">6×3</t>
        </is>
      </c>
      <c r="E66" t="inlineStr">
        <is>
          <t xml:space="preserve">A, B</t>
        </is>
      </c>
      <c r="F66" s="2" t="str">
        <f>HYPERLINK("https://yandex.ru/maps/?pt=73.312796,54.985244&amp;z=17","открыть")</f>
        <v>открыть</v>
      </c>
      <c r="G66" s="2" t="str">
        <f>HYPERLINK("https://mediafasadomsk.com/surfaces/bb-70-let-oktyabrya-ul-7-a-900.jpg","смотреть")</f>
        <v>смотреть</v>
      </c>
      <c r="H66">
        <v>54.985244</v>
      </c>
      <c r="I66">
        <v>73.312796</v>
      </c>
    </row>
    <row r="67">
      <c r="A67">
        <v>66</v>
      </c>
      <c r="B67" t="inlineStr">
        <is>
          <t xml:space="preserve">70 лет Октября, 9/4</t>
        </is>
      </c>
      <c r="C67" t="inlineStr">
        <is>
          <t xml:space="preserve">Билборд</t>
        </is>
      </c>
      <c r="D67" t="inlineStr">
        <is>
          <t xml:space="preserve">6×3</t>
        </is>
      </c>
      <c r="E67" t="inlineStr">
        <is>
          <t xml:space="preserve">A, B</t>
        </is>
      </c>
      <c r="F67" s="2" t="str">
        <f>HYPERLINK("https://yandex.ru/maps/?pt=73.30882460384369,54.98697676769386&amp;z=17","открыть")</f>
        <v>открыть</v>
      </c>
      <c r="G67" s="2" t="str">
        <f>HYPERLINK("https://mediafasadomsk.com/surfaces/bb-70-let-oktyabrya-ul-9k4-a-900.jpg","смотреть")</f>
        <v>смотреть</v>
      </c>
      <c r="H67">
        <v>54.98697676769386</v>
      </c>
      <c r="I67">
        <v>73.30882460384369</v>
      </c>
    </row>
    <row r="68">
      <c r="A68">
        <v>67</v>
      </c>
      <c r="B68" t="inlineStr">
        <is>
          <t xml:space="preserve">Пересечение 70 лет Октября и Енисейской (светофор, позиция 1)</t>
        </is>
      </c>
      <c r="C68" t="inlineStr">
        <is>
          <t xml:space="preserve">Билборд</t>
        </is>
      </c>
      <c r="D68" t="inlineStr">
        <is>
          <t xml:space="preserve">6×3</t>
        </is>
      </c>
      <c r="E68" t="inlineStr">
        <is>
          <t xml:space="preserve">A</t>
        </is>
      </c>
      <c r="F68" s="2" t="str">
        <f>HYPERLINK("https://yandex.ru/maps/?pt=73.33890000000004,54.97800000000003&amp;z=17","открыть")</f>
        <v>открыть</v>
      </c>
      <c r="G68" s="2" t="str">
        <f>HYPERLINK("https://mediafasadomsk.com/surfaces/bb-70-let-oktyabrya-ul-h-s-ul-enisejskaya-svetofor-poz-1-a-900.jpg","смотреть")</f>
        <v>смотреть</v>
      </c>
      <c r="H68">
        <v>54.97800000000003</v>
      </c>
      <c r="I68">
        <v>73.33890000000004</v>
      </c>
    </row>
    <row r="69">
      <c r="A69">
        <v>68</v>
      </c>
      <c r="B69" t="inlineStr">
        <is>
          <t xml:space="preserve">Пересечение 70 лет Октября и Енисейской (светофор, позиция 2)</t>
        </is>
      </c>
      <c r="C69" t="inlineStr">
        <is>
          <t xml:space="preserve">Цифровой билборд</t>
        </is>
      </c>
      <c r="D69" t="inlineStr">
        <is>
          <t xml:space="preserve">6×3</t>
        </is>
      </c>
      <c r="E69" t="inlineStr">
        <is>
          <t xml:space="preserve">B1</t>
        </is>
      </c>
      <c r="F69" s="2" t="str">
        <f>HYPERLINK("https://yandex.ru/maps/?pt=73.33890000000004,54.97789999999998&amp;z=17","открыть")</f>
        <v>открыть</v>
      </c>
      <c r="G69" s="2" t="str">
        <f>HYPERLINK("https://mediafasadomsk.com/surfaces/bb-70-let-oktyabrya-ul-h-s-ul-enisejskaya-svetofor-poz-2-a-900.jpg","смотреть")</f>
        <v>смотреть</v>
      </c>
      <c r="H69">
        <v>54.97789999999998</v>
      </c>
      <c r="I69">
        <v>73.33890000000004</v>
      </c>
    </row>
    <row r="70">
      <c r="A70">
        <v>69</v>
      </c>
      <c r="B70" t="inlineStr">
        <is>
          <t xml:space="preserve">Пересечение 70 лет Октября и Туполева (ГМ Магнит)</t>
        </is>
      </c>
      <c r="C70" t="inlineStr">
        <is>
          <t xml:space="preserve">Билборд</t>
        </is>
      </c>
      <c r="D70" t="inlineStr">
        <is>
          <t xml:space="preserve">6×3</t>
        </is>
      </c>
      <c r="E70" t="inlineStr">
        <is>
          <t xml:space="preserve">A, B</t>
        </is>
      </c>
      <c r="F70" s="2" t="str">
        <f>HYPERLINK("https://yandex.ru/maps/?pt=73.301613,54.99042&amp;z=17","открыть")</f>
        <v>открыть</v>
      </c>
      <c r="G70" s="2" t="str">
        <f>HYPERLINK("https://mediafasadomsk.com/surfaces/bb-70-let-oktyabrya-ul-tupoleva-ul-gm-magnit-a-900.jpg","смотреть")</f>
        <v>смотреть</v>
      </c>
      <c r="H70">
        <v>54.99042</v>
      </c>
      <c r="I70">
        <v>73.301613</v>
      </c>
    </row>
    <row r="71">
      <c r="A71">
        <v>70</v>
      </c>
      <c r="B71" t="inlineStr">
        <is>
          <t xml:space="preserve">Проспект Академика Королёва, напротив дома 16</t>
        </is>
      </c>
      <c r="C71" t="inlineStr">
        <is>
          <t xml:space="preserve">Цифровой билборд</t>
        </is>
      </c>
      <c r="D71" t="inlineStr">
        <is>
          <t xml:space="preserve">6×3</t>
        </is>
      </c>
      <c r="E71" t="inlineStr">
        <is>
          <t xml:space="preserve">A, B</t>
        </is>
      </c>
      <c r="F71" s="2" t="str">
        <f>HYPERLINK("https://yandex.ru/maps/?pt=73.308129,55.03777&amp;z=17","открыть")</f>
        <v>открыть</v>
      </c>
      <c r="G71" s="2" t="str">
        <f>HYPERLINK("https://mediafasadomsk.com/surfaces/bb-akademika-koroleva-pr-16-naprotiv-a-900.jpg","смотреть")</f>
        <v>смотреть</v>
      </c>
      <c r="H71">
        <v>55.03777</v>
      </c>
      <c r="I71">
        <v>73.308129</v>
      </c>
    </row>
    <row r="72">
      <c r="A72">
        <v>71</v>
      </c>
      <c r="B72" t="inlineStr">
        <is>
          <t xml:space="preserve">Проспект Академика Королёва, напротив дома 27/1</t>
        </is>
      </c>
      <c r="C72" t="inlineStr">
        <is>
          <t xml:space="preserve">Цифровой билборд</t>
        </is>
      </c>
      <c r="D72" t="inlineStr">
        <is>
          <t xml:space="preserve">6×3</t>
        </is>
      </c>
      <c r="E72" t="inlineStr">
        <is>
          <t xml:space="preserve">A, B</t>
        </is>
      </c>
      <c r="F72" s="2" t="str">
        <f>HYPERLINK("https://yandex.ru/maps/?pt=73.323186,55.033424&amp;z=17","открыть")</f>
        <v>открыть</v>
      </c>
      <c r="G72" s="2" t="str">
        <f>HYPERLINK("https://mediafasadomsk.com/surfaces/bb-akademika-koroleva-pr-27-1-naprotiv-a-900.jpg","смотреть")</f>
        <v>смотреть</v>
      </c>
      <c r="H72">
        <v>55.033424</v>
      </c>
      <c r="I72">
        <v>73.323186</v>
      </c>
    </row>
    <row r="73">
      <c r="A73">
        <v>72</v>
      </c>
      <c r="B73" t="inlineStr">
        <is>
          <t xml:space="preserve">Проспект Академика Королёва, 30 №2</t>
        </is>
      </c>
      <c r="C73" t="inlineStr">
        <is>
          <t xml:space="preserve">Билборд</t>
        </is>
      </c>
      <c r="D73" t="inlineStr">
        <is>
          <t xml:space="preserve">6×3</t>
        </is>
      </c>
      <c r="E73" t="inlineStr">
        <is>
          <t xml:space="preserve">A, B</t>
        </is>
      </c>
      <c r="F73" s="2" t="str">
        <f>HYPERLINK("https://yandex.ru/maps/?pt=73.335331,55.029527&amp;z=17","открыть")</f>
        <v>открыть</v>
      </c>
      <c r="G73" s="2" t="str">
        <f>HYPERLINK("https://mediafasadomsk.com/surfaces/bb-akademika-koroleva-pr-30-2-a-900.jpg","смотреть")</f>
        <v>смотреть</v>
      </c>
      <c r="H73">
        <v>55.029527</v>
      </c>
      <c r="I73">
        <v>73.335331</v>
      </c>
    </row>
    <row r="74">
      <c r="A74">
        <v>73</v>
      </c>
      <c r="B74" t="inlineStr">
        <is>
          <t xml:space="preserve">Проспект Академика Королёва, 15к1</t>
        </is>
      </c>
      <c r="C74" t="inlineStr">
        <is>
          <t xml:space="preserve">Призматрон</t>
        </is>
      </c>
      <c r="D74" t="inlineStr">
        <is>
          <t xml:space="preserve">6×3</t>
        </is>
      </c>
      <c r="E74" t="inlineStr">
        <is>
          <t xml:space="preserve">A</t>
        </is>
      </c>
      <c r="F74" s="2" t="str">
        <f>HYPERLINK("https://yandex.ru/maps/?pt=73.314487,55.036217&amp;z=17","открыть")</f>
        <v>открыть</v>
      </c>
      <c r="G74" s="2" t="str">
        <f>HYPERLINK("https://mediafasadomsk.com/surfaces/bb-akademika-koroleva-prospekt-15-k-1-a-900.jpg","смотреть")</f>
        <v>смотреть</v>
      </c>
      <c r="H74">
        <v>55.036217</v>
      </c>
      <c r="I74">
        <v>73.314487</v>
      </c>
    </row>
    <row r="75">
      <c r="A75">
        <v>74</v>
      </c>
      <c r="B75" t="inlineStr">
        <is>
          <t xml:space="preserve">Проспект Академика Королёва, 15к1</t>
        </is>
      </c>
      <c r="C75" t="inlineStr">
        <is>
          <t xml:space="preserve">Билборд</t>
        </is>
      </c>
      <c r="D75" t="inlineStr">
        <is>
          <t xml:space="preserve">6×3</t>
        </is>
      </c>
      <c r="E75" t="inlineStr">
        <is>
          <t xml:space="preserve">B</t>
        </is>
      </c>
      <c r="F75" s="2" t="str">
        <f>HYPERLINK("https://yandex.ru/maps/?pt=73.314487,55.036217&amp;z=17","открыть")</f>
        <v>открыть</v>
      </c>
      <c r="G75" s="2" t="str">
        <f>HYPERLINK("https://mediafasadomsk.com/surfaces/bb-akademika-koroleva-prospekt-15-k-1-b-a-900.jpg","смотреть")</f>
        <v>смотреть</v>
      </c>
      <c r="H75">
        <v>55.036217</v>
      </c>
      <c r="I75">
        <v>73.314487</v>
      </c>
    </row>
    <row r="76">
      <c r="A76">
        <v>75</v>
      </c>
      <c r="B76" t="inlineStr">
        <is>
          <t xml:space="preserve">21-я Амурская, напротив дома 12/3 (у пересечения с улицей 33-я Северная, светофор)</t>
        </is>
      </c>
      <c r="C76" t="inlineStr">
        <is>
          <t xml:space="preserve">Цифровой билборд</t>
        </is>
      </c>
      <c r="D76" t="inlineStr">
        <is>
          <t xml:space="preserve">6×3</t>
        </is>
      </c>
      <c r="E76" t="inlineStr">
        <is>
          <t xml:space="preserve">B1</t>
        </is>
      </c>
      <c r="F76" s="2" t="str">
        <f>HYPERLINK("https://yandex.ru/maps/?pt=73.41266548402828,55.02764529746983&amp;z=17","открыть")</f>
        <v>открыть</v>
      </c>
      <c r="G76" s="2" t="str">
        <f>HYPERLINK("https://mediafasadomsk.com/surfaces/bb-amurskaya-21-ya-ul-12-3-naprotiv-h-s-ul-severnaya-33-ya-svetofor-a-900.jpg","смотреть")</f>
        <v>смотреть</v>
      </c>
      <c r="H76">
        <v>55.02764529746983</v>
      </c>
      <c r="I76">
        <v>73.41266548402828</v>
      </c>
    </row>
    <row r="77">
      <c r="A77">
        <v>76</v>
      </c>
      <c r="B77" t="inlineStr">
        <is>
          <t xml:space="preserve">21-я Амурская, 12 (у пересечения с улицей 4-я Челюскинцев, светофор)</t>
        </is>
      </c>
      <c r="C77" t="inlineStr">
        <is>
          <t xml:space="preserve">Цифровой билборд</t>
        </is>
      </c>
      <c r="D77" t="inlineStr">
        <is>
          <t xml:space="preserve">6×3</t>
        </is>
      </c>
      <c r="E77" t="inlineStr">
        <is>
          <t xml:space="preserve">A1</t>
        </is>
      </c>
      <c r="F77" s="2" t="str">
        <f>HYPERLINK("https://yandex.ru/maps/?pt=73.41269999999994,55.02710000000001&amp;z=17","открыть")</f>
        <v>открыть</v>
      </c>
      <c r="G77" s="2" t="str">
        <f>HYPERLINK("https://mediafasadomsk.com/surfaces/bb-amurskaya-21-ya-ul-12-h-s-ul-chelyuskincev-4-ya-svetofor-a-900.jpg","смотреть")</f>
        <v>смотреть</v>
      </c>
      <c r="H77">
        <v>55.02710000000001</v>
      </c>
      <c r="I77">
        <v>73.41269999999994</v>
      </c>
    </row>
    <row r="78">
      <c r="A78">
        <v>77</v>
      </c>
      <c r="B78" t="inlineStr">
        <is>
          <t xml:space="preserve">21-я Амурская, 12 (у пересечения с улицей 4-я Челюскинцев, светофор)</t>
        </is>
      </c>
      <c r="C78" t="inlineStr">
        <is>
          <t xml:space="preserve">Билборд</t>
        </is>
      </c>
      <c r="D78" t="inlineStr">
        <is>
          <t xml:space="preserve">6×3</t>
        </is>
      </c>
      <c r="E78" t="inlineStr">
        <is>
          <t xml:space="preserve">B</t>
        </is>
      </c>
      <c r="F78" s="2" t="str">
        <f>HYPERLINK("https://yandex.ru/maps/?pt=73.41269999999994,55.02710000000001&amp;z=17","открыть")</f>
        <v>открыть</v>
      </c>
      <c r="G78" s="2" t="str">
        <f>HYPERLINK("https://mediafasadomsk.com/surfaces/bb-amurskaya-21-ya-ul-12-h-s-ul-chelyuskincev-4-ya-svetofor-b-a-900.jpg","смотреть")</f>
        <v>смотреть</v>
      </c>
      <c r="H78">
        <v>55.02710000000001</v>
      </c>
      <c r="I78">
        <v>73.41269999999994</v>
      </c>
    </row>
    <row r="79">
      <c r="A79">
        <v>78</v>
      </c>
      <c r="B79" t="inlineStr">
        <is>
          <t xml:space="preserve">21-я Амурская, 2А (у пересечения с улицей 24-я Северная, светофор)</t>
        </is>
      </c>
      <c r="C79" t="inlineStr">
        <is>
          <t xml:space="preserve">Билборд</t>
        </is>
      </c>
      <c r="D79" t="inlineStr">
        <is>
          <t xml:space="preserve">6×3</t>
        </is>
      </c>
      <c r="E79" t="inlineStr">
        <is>
          <t xml:space="preserve">A</t>
        </is>
      </c>
      <c r="F79" s="2" t="str">
        <f>HYPERLINK("https://yandex.ru/maps/?pt=73.40775999999984,55.02322800000003&amp;z=17","открыть")</f>
        <v>открыть</v>
      </c>
      <c r="G79" s="2" t="str">
        <f>HYPERLINK("https://mediafasadomsk.com/surfaces/bb-amurskaya-21-ya-ul-2a-h-s-ul-severnaya-24-ya-svetofor-a-900.jpg","смотреть")</f>
        <v>смотреть</v>
      </c>
      <c r="H79">
        <v>55.02322800000003</v>
      </c>
      <c r="I79">
        <v>73.40775999999984</v>
      </c>
    </row>
    <row r="80">
      <c r="A80">
        <v>79</v>
      </c>
      <c r="B80" t="inlineStr">
        <is>
          <t xml:space="preserve">21-я Амурская, 6</t>
        </is>
      </c>
      <c r="C80" t="inlineStr">
        <is>
          <t xml:space="preserve">Билборд</t>
        </is>
      </c>
      <c r="D80" t="inlineStr">
        <is>
          <t xml:space="preserve">6×3</t>
        </is>
      </c>
      <c r="E80" t="inlineStr">
        <is>
          <t xml:space="preserve">A, B</t>
        </is>
      </c>
      <c r="F80" s="2" t="str">
        <f>HYPERLINK("https://yandex.ru/maps/?pt=73.409472,55.024411&amp;z=17","открыть")</f>
        <v>открыть</v>
      </c>
      <c r="G80" s="2" t="str">
        <f>HYPERLINK("https://mediafasadomsk.com/surfaces/bb-amurskaya-21-ya-ul-d-6-a-900.jpg","смотреть")</f>
        <v>смотреть</v>
      </c>
      <c r="H80">
        <v>55.024411</v>
      </c>
      <c r="I80">
        <v>73.409472</v>
      </c>
    </row>
    <row r="81">
      <c r="A81">
        <v>80</v>
      </c>
      <c r="B81" t="inlineStr">
        <is>
          <t xml:space="preserve">22 Апреля, 16</t>
        </is>
      </c>
      <c r="C81" t="inlineStr">
        <is>
          <t xml:space="preserve">Билборд</t>
        </is>
      </c>
      <c r="D81" t="inlineStr">
        <is>
          <t xml:space="preserve">6×3</t>
        </is>
      </c>
      <c r="E81" t="inlineStr">
        <is>
          <t xml:space="preserve">A, B</t>
        </is>
      </c>
      <c r="F81" s="2" t="str">
        <f>HYPERLINK("https://yandex.ru/maps/?pt=73.283303,55.0422&amp;z=17","открыть")</f>
        <v>открыть</v>
      </c>
      <c r="G81" s="2" t="str">
        <f>HYPERLINK("https://mediafasadomsk.com/surfaces/bb-aprelya-22-go-ul-16-a-900.jpg","смотреть")</f>
        <v>смотреть</v>
      </c>
      <c r="H81">
        <v>55.0422</v>
      </c>
      <c r="I81">
        <v>73.283303</v>
      </c>
    </row>
    <row r="82">
      <c r="A82">
        <v>81</v>
      </c>
      <c r="B82" t="inlineStr">
        <is>
          <t xml:space="preserve">22 Апреля, напротив дома 43/3</t>
        </is>
      </c>
      <c r="C82" t="inlineStr">
        <is>
          <t xml:space="preserve">Билборд</t>
        </is>
      </c>
      <c r="D82" t="inlineStr">
        <is>
          <t xml:space="preserve">6×3</t>
        </is>
      </c>
      <c r="E82" t="inlineStr">
        <is>
          <t xml:space="preserve">A, B</t>
        </is>
      </c>
      <c r="F82" s="2" t="str">
        <f>HYPERLINK("https://yandex.ru/maps/?pt=73.264183,55.038094&amp;z=17","открыть")</f>
        <v>открыть</v>
      </c>
      <c r="G82" s="2" t="str">
        <f>HYPERLINK("https://mediafasadomsk.com/surfaces/bb-aprelya-22-go-ul-43-3-naprotiv-a-900.jpg","смотреть")</f>
        <v>смотреть</v>
      </c>
      <c r="H82">
        <v>55.038094</v>
      </c>
      <c r="I82">
        <v>73.264183</v>
      </c>
    </row>
    <row r="83">
      <c r="A83">
        <v>82</v>
      </c>
      <c r="B83" t="inlineStr">
        <is>
          <t xml:space="preserve">Бульвар Архитекторов, 35, Садовая, 22 (напротив)</t>
        </is>
      </c>
      <c r="C83" t="inlineStr">
        <is>
          <t xml:space="preserve">Цифровой билборд</t>
        </is>
      </c>
      <c r="D83" t="inlineStr">
        <is>
          <t xml:space="preserve">6×3</t>
        </is>
      </c>
      <c r="E83" t="inlineStr">
        <is>
          <t xml:space="preserve">A, B</t>
        </is>
      </c>
      <c r="F83" s="2" t="str">
        <f>HYPERLINK("https://yandex.ru/maps/?pt=73.291094,54.973095&amp;z=17","открыть")</f>
        <v>открыть</v>
      </c>
      <c r="G83" s="2" t="str">
        <f>HYPERLINK("https://mediafasadomsk.com/surfaces/bb-arhitektorov-bul-35-sadovaya-ul-22-naprotiv-a-900.jpg","смотреть")</f>
        <v>смотреть</v>
      </c>
      <c r="H83">
        <v>54.973095</v>
      </c>
      <c r="I83">
        <v>73.291094</v>
      </c>
    </row>
    <row r="84">
      <c r="A84">
        <v>83</v>
      </c>
      <c r="B84" t="inlineStr">
        <is>
          <t xml:space="preserve">Авиационная, 145А, съезд на улицу 60 лет Победы (аэропорт «Омск»)</t>
        </is>
      </c>
      <c r="C84" t="inlineStr">
        <is>
          <t xml:space="preserve">Билборд</t>
        </is>
      </c>
      <c r="D84" t="inlineStr">
        <is>
          <t xml:space="preserve">6×3</t>
        </is>
      </c>
      <c r="E84" t="inlineStr">
        <is>
          <t xml:space="preserve">A</t>
        </is>
      </c>
      <c r="F84" s="2" t="str">
        <f>HYPERLINK("https://yandex.ru/maps/?pt=73.33758775463122,54.95125080763535&amp;z=17","открыть")</f>
        <v>открыть</v>
      </c>
      <c r="G84" s="2" t="str">
        <f>HYPERLINK("https://mediafasadomsk.com/surfaces/bb-aviacionnaya-ul-145a-sezd-na-ul-60-let-pobedy-aeroport-omsk-a-900.jpg","смотреть")</f>
        <v>смотреть</v>
      </c>
      <c r="H84">
        <v>54.95125080763535</v>
      </c>
      <c r="I84">
        <v>73.33758775463122</v>
      </c>
    </row>
    <row r="85">
      <c r="A85">
        <v>84</v>
      </c>
      <c r="B85" t="inlineStr">
        <is>
          <t xml:space="preserve">Богдана Хмельницкого, 214А, 2-я Транспортная</t>
        </is>
      </c>
      <c r="C85" t="inlineStr">
        <is>
          <t xml:space="preserve">Билборд</t>
        </is>
      </c>
      <c r="D85" t="inlineStr">
        <is>
          <t xml:space="preserve">6×3</t>
        </is>
      </c>
      <c r="E85" t="inlineStr">
        <is>
          <t xml:space="preserve">A</t>
        </is>
      </c>
      <c r="F85" s="2" t="str">
        <f>HYPERLINK("https://yandex.ru/maps/?pt=73.414035,54.959664&amp;z=17","открыть")</f>
        <v>открыть</v>
      </c>
      <c r="G85" s="2" t="str">
        <f>HYPERLINK("https://mediafasadomsk.com/surfaces/bb-b-hmelnickogo-ul-214a-2-ya-transportnaya-ul-a-900.jpg","смотреть")</f>
        <v>смотреть</v>
      </c>
      <c r="H85">
        <v>54.959664</v>
      </c>
      <c r="I85">
        <v>73.414035</v>
      </c>
    </row>
    <row r="86">
      <c r="A86">
        <v>85</v>
      </c>
      <c r="B86" t="inlineStr">
        <is>
          <t xml:space="preserve">Пересечение 3-й Транспортной и Богдана Хмельницкого</t>
        </is>
      </c>
      <c r="C86" t="inlineStr">
        <is>
          <t xml:space="preserve">Цифровой билборд</t>
        </is>
      </c>
      <c r="D86" t="inlineStr">
        <is>
          <t xml:space="preserve">6×3</t>
        </is>
      </c>
      <c r="E86" t="inlineStr">
        <is>
          <t xml:space="preserve">A</t>
        </is>
      </c>
      <c r="F86" s="2" t="str">
        <f>HYPERLINK("https://yandex.ru/maps/?pt=73.414703,54.957727&amp;z=17","открыть")</f>
        <v>открыть</v>
      </c>
      <c r="G86" s="2" t="str">
        <f>HYPERLINK("https://mediafasadomsk.com/surfaces/bb-b-hmelnickogo-ul-3-ya-transportnaya-ul-a-900.jpg","смотреть")</f>
        <v>смотреть</v>
      </c>
      <c r="H86">
        <v>54.957727</v>
      </c>
      <c r="I86">
        <v>73.414703</v>
      </c>
    </row>
    <row r="87">
      <c r="A87">
        <v>86</v>
      </c>
      <c r="B87" t="inlineStr">
        <is>
          <t xml:space="preserve">Богдана Хмельницкого, СКК Юность</t>
        </is>
      </c>
      <c r="C87" t="inlineStr">
        <is>
          <t xml:space="preserve">Билборд</t>
        </is>
      </c>
      <c r="D87" t="inlineStr">
        <is>
          <t xml:space="preserve">6×3</t>
        </is>
      </c>
      <c r="E87" t="inlineStr">
        <is>
          <t xml:space="preserve">A1, A2</t>
        </is>
      </c>
      <c r="F87" s="2" t="str">
        <f>HYPERLINK("https://yandex.ru/maps/?pt=73.413327,54.970522&amp;z=17","открыть")</f>
        <v>открыть</v>
      </c>
      <c r="G87" s="2" t="str">
        <f>HYPERLINK("https://mediafasadomsk.com/surfaces/bb-b-hmelnickogo-ul-skk-yunost-a-900.jpg","смотреть")</f>
        <v>смотреть</v>
      </c>
      <c r="H87">
        <v>54.970522</v>
      </c>
      <c r="I87">
        <v>73.413327</v>
      </c>
    </row>
    <row r="88">
      <c r="A88">
        <v>87</v>
      </c>
      <c r="B88" t="inlineStr">
        <is>
          <t xml:space="preserve">Багратиона, 11 (у пересечения с улицей 4-я Челюскинцев, светофор)</t>
        </is>
      </c>
      <c r="C88" t="inlineStr">
        <is>
          <t xml:space="preserve">Билборд</t>
        </is>
      </c>
      <c r="D88" t="inlineStr">
        <is>
          <t xml:space="preserve">6×3</t>
        </is>
      </c>
      <c r="E88" t="inlineStr">
        <is>
          <t xml:space="preserve">A, B</t>
        </is>
      </c>
      <c r="F88" s="2" t="str">
        <f>HYPERLINK("https://yandex.ru/maps/?pt=73.41693161999974,55.02390788&amp;z=17","открыть")</f>
        <v>открыть</v>
      </c>
      <c r="G88" s="2" t="str">
        <f>HYPERLINK("https://mediafasadomsk.com/surfaces/bb-bagrationa-ul-11-h-s-ul-chelyuskincev-4-ya-svetofor-a-900.jpg","смотреть")</f>
        <v>смотреть</v>
      </c>
      <c r="H88">
        <v>55.02390788</v>
      </c>
      <c r="I88">
        <v>73.41693161999974</v>
      </c>
    </row>
    <row r="89">
      <c r="A89">
        <v>88</v>
      </c>
      <c r="B89" t="inlineStr">
        <is>
          <t xml:space="preserve">Багратиона, 17</t>
        </is>
      </c>
      <c r="C89" t="inlineStr">
        <is>
          <t xml:space="preserve">Билборд</t>
        </is>
      </c>
      <c r="D89" t="inlineStr">
        <is>
          <t xml:space="preserve">6×3</t>
        </is>
      </c>
      <c r="E89" t="inlineStr">
        <is>
          <t xml:space="preserve">A, B</t>
        </is>
      </c>
      <c r="F89" s="2" t="str">
        <f>HYPERLINK("https://yandex.ru/maps/?pt=73.422018,55.025169&amp;z=17","открыть")</f>
        <v>открыть</v>
      </c>
      <c r="G89" s="2" t="str">
        <f>HYPERLINK("https://mediafasadomsk.com/surfaces/bb-bagrationa-ul-17-a-900.jpg","смотреть")</f>
        <v>смотреть</v>
      </c>
      <c r="H89">
        <v>55.025169</v>
      </c>
      <c r="I89">
        <v>73.422018</v>
      </c>
    </row>
    <row r="90">
      <c r="A90">
        <v>89</v>
      </c>
      <c r="B90" t="inlineStr">
        <is>
          <t xml:space="preserve">Багратиона, напротив дома 4/7</t>
        </is>
      </c>
      <c r="C90" t="inlineStr">
        <is>
          <t xml:space="preserve">Билборд</t>
        </is>
      </c>
      <c r="D90" t="inlineStr">
        <is>
          <t xml:space="preserve">6×3</t>
        </is>
      </c>
      <c r="E90" t="inlineStr">
        <is>
          <t xml:space="preserve">A, B</t>
        </is>
      </c>
      <c r="F90" s="2" t="str">
        <f>HYPERLINK("https://yandex.ru/maps/?pt=73.40897,55.021493&amp;z=17","открыть")</f>
        <v>открыть</v>
      </c>
      <c r="G90" s="2" t="str">
        <f>HYPERLINK("https://mediafasadomsk.com/surfaces/bb-bagrationa-ul-4-7-naprotiv-a-900.jpg","смотреть")</f>
        <v>смотреть</v>
      </c>
      <c r="H90">
        <v>55.021493</v>
      </c>
      <c r="I90">
        <v>73.40897</v>
      </c>
    </row>
    <row r="91">
      <c r="A91">
        <v>90</v>
      </c>
      <c r="B91" t="inlineStr">
        <is>
          <t xml:space="preserve">Багратиона, 5</t>
        </is>
      </c>
      <c r="C91" t="inlineStr">
        <is>
          <t xml:space="preserve">Билборд</t>
        </is>
      </c>
      <c r="D91" t="inlineStr">
        <is>
          <t xml:space="preserve">6×3</t>
        </is>
      </c>
      <c r="E91" t="inlineStr">
        <is>
          <t xml:space="preserve">A, B</t>
        </is>
      </c>
      <c r="F91" s="2" t="str">
        <f>HYPERLINK("https://yandex.ru/maps/?pt=73.41169999999993,55.022400000000005&amp;z=17","открыть")</f>
        <v>открыть</v>
      </c>
      <c r="G91" s="2" t="str">
        <f>HYPERLINK("https://mediafasadomsk.com/surfaces/bb-bagrationa-ul-5-a-900.jpg","смотреть")</f>
        <v>смотреть</v>
      </c>
      <c r="H91">
        <v>55.022400000000005</v>
      </c>
      <c r="I91">
        <v>73.41169999999993</v>
      </c>
    </row>
    <row r="92">
      <c r="A92">
        <v>91</v>
      </c>
      <c r="B92" t="inlineStr">
        <is>
          <t xml:space="preserve">Бархатовой, 1</t>
        </is>
      </c>
      <c r="C92" t="inlineStr">
        <is>
          <t xml:space="preserve">Билборд</t>
        </is>
      </c>
      <c r="D92" t="inlineStr">
        <is>
          <t xml:space="preserve">6×3</t>
        </is>
      </c>
      <c r="E92" t="inlineStr">
        <is>
          <t xml:space="preserve">A, B</t>
        </is>
      </c>
      <c r="F92" s="2" t="str">
        <f>HYPERLINK("https://yandex.ru/maps/?pt=73.32673036692952,55.0485185728953&amp;z=17","открыть")</f>
        <v>открыть</v>
      </c>
      <c r="G92" s="2" t="str">
        <f>HYPERLINK("https://mediafasadomsk.com/surfaces/bb-barhatovoj-ul-1-a-900.jpg","смотреть")</f>
        <v>смотреть</v>
      </c>
      <c r="H92">
        <v>55.0485185728953</v>
      </c>
      <c r="I92">
        <v>73.32673036692952</v>
      </c>
    </row>
    <row r="93">
      <c r="A93">
        <v>92</v>
      </c>
      <c r="B93" t="inlineStr">
        <is>
          <t xml:space="preserve">Бархатовой, 11 (светофор)</t>
        </is>
      </c>
      <c r="C93" t="inlineStr">
        <is>
          <t xml:space="preserve">Билборд</t>
        </is>
      </c>
      <c r="D93" t="inlineStr">
        <is>
          <t xml:space="preserve">6×3</t>
        </is>
      </c>
      <c r="E93" t="inlineStr">
        <is>
          <t xml:space="preserve">A, B</t>
        </is>
      </c>
      <c r="F93" s="2" t="str">
        <f>HYPERLINK("https://yandex.ru/maps/?pt=73.32468000000024,55.04367799999998&amp;z=17","открыть")</f>
        <v>открыть</v>
      </c>
      <c r="G93" s="2" t="str">
        <f>HYPERLINK("https://mediafasadomsk.com/surfaces/bb-barhatovoj-ul-11-svetofor-a-900.jpg","смотреть")</f>
        <v>смотреть</v>
      </c>
      <c r="H93">
        <v>55.04367799999998</v>
      </c>
      <c r="I93">
        <v>73.32468000000024</v>
      </c>
    </row>
    <row r="94">
      <c r="A94">
        <v>93</v>
      </c>
      <c r="B94" t="inlineStr">
        <is>
          <t xml:space="preserve">Бархатовой, 2</t>
        </is>
      </c>
      <c r="C94" t="inlineStr">
        <is>
          <t xml:space="preserve">Билборд</t>
        </is>
      </c>
      <c r="D94" t="inlineStr">
        <is>
          <t xml:space="preserve">6×3</t>
        </is>
      </c>
      <c r="E94" t="inlineStr">
        <is>
          <t xml:space="preserve">A, B</t>
        </is>
      </c>
      <c r="F94" s="2" t="str">
        <f>HYPERLINK("https://yandex.ru/maps/?pt=73.3265131077645,55.04858620053911&amp;z=17","открыть")</f>
        <v>открыть</v>
      </c>
      <c r="G94" s="2" t="str">
        <f>HYPERLINK("https://mediafasadomsk.com/surfaces/bb-barhatovoj-ul-2-a-900.jpg","смотреть")</f>
        <v>смотреть</v>
      </c>
      <c r="H94">
        <v>55.04858620053911</v>
      </c>
      <c r="I94">
        <v>73.3265131077645</v>
      </c>
    </row>
    <row r="95">
      <c r="A95">
        <v>94</v>
      </c>
      <c r="B95" t="inlineStr">
        <is>
          <t xml:space="preserve">Бархатовой, 9</t>
        </is>
      </c>
      <c r="C95" t="inlineStr">
        <is>
          <t xml:space="preserve">Билборд</t>
        </is>
      </c>
      <c r="D95" t="inlineStr">
        <is>
          <t xml:space="preserve">6×3</t>
        </is>
      </c>
      <c r="E95" t="inlineStr">
        <is>
          <t xml:space="preserve">A, B</t>
        </is>
      </c>
      <c r="F95" s="2" t="str">
        <f>HYPERLINK("https://yandex.ru/maps/?pt=73.32507400000009,55.04492399999999&amp;z=17","открыть")</f>
        <v>открыть</v>
      </c>
      <c r="G95" s="2" t="str">
        <f>HYPERLINK("https://mediafasadomsk.com/surfaces/bb-barhatovoj-ul-9-a-900.jpg","смотреть")</f>
        <v>смотреть</v>
      </c>
      <c r="H95">
        <v>55.04492399999999</v>
      </c>
      <c r="I95">
        <v>73.32507400000009</v>
      </c>
    </row>
    <row r="96">
      <c r="A96">
        <v>95</v>
      </c>
      <c r="B96" t="inlineStr">
        <is>
          <t xml:space="preserve">Барнаульская, 11А</t>
        </is>
      </c>
      <c r="C96" t="inlineStr">
        <is>
          <t xml:space="preserve">Билборд</t>
        </is>
      </c>
      <c r="D96" t="inlineStr">
        <is>
          <t xml:space="preserve">6×3</t>
        </is>
      </c>
      <c r="E96" t="inlineStr">
        <is>
          <t xml:space="preserve">A, B</t>
        </is>
      </c>
      <c r="F96" s="2" t="str">
        <f>HYPERLINK("https://yandex.ru/maps/?pt=73.40619999999991,55.00600000000001&amp;z=17","открыть")</f>
        <v>открыть</v>
      </c>
      <c r="G96" s="2" t="str">
        <f>HYPERLINK("https://mediafasadomsk.com/surfaces/bb-barnaulskaya-ul-11a-a-900.jpg","смотреть")</f>
        <v>смотреть</v>
      </c>
      <c r="H96">
        <v>55.00600000000001</v>
      </c>
      <c r="I96">
        <v>73.40619999999991</v>
      </c>
    </row>
    <row r="97">
      <c r="A97">
        <v>96</v>
      </c>
      <c r="B97" t="inlineStr">
        <is>
          <t xml:space="preserve">Барнаульская, 17</t>
        </is>
      </c>
      <c r="C97" t="inlineStr">
        <is>
          <t xml:space="preserve">Билборд</t>
        </is>
      </c>
      <c r="D97" t="inlineStr">
        <is>
          <t xml:space="preserve">6×3</t>
        </is>
      </c>
      <c r="E97" t="inlineStr">
        <is>
          <t xml:space="preserve">A, B</t>
        </is>
      </c>
      <c r="F97" s="2" t="str">
        <f>HYPERLINK("https://yandex.ru/maps/?pt=73.407214,55.006398&amp;z=17","открыть")</f>
        <v>открыть</v>
      </c>
      <c r="G97" s="2" t="str">
        <f>HYPERLINK("https://mediafasadomsk.com/surfaces/bb-barnaulskaya-ul-17-a-900.jpg","смотреть")</f>
        <v>смотреть</v>
      </c>
      <c r="H97">
        <v>55.006398</v>
      </c>
      <c r="I97">
        <v>73.407214</v>
      </c>
    </row>
    <row r="98">
      <c r="A98">
        <v>97</v>
      </c>
      <c r="B98" t="inlineStr">
        <is>
          <t xml:space="preserve">Барнаульская, напротив дома 48 (улица 8-я Восточная)</t>
        </is>
      </c>
      <c r="C98" t="inlineStr">
        <is>
          <t xml:space="preserve">Билборд</t>
        </is>
      </c>
      <c r="D98" t="inlineStr">
        <is>
          <t xml:space="preserve">6×3</t>
        </is>
      </c>
      <c r="E98" t="inlineStr">
        <is>
          <t xml:space="preserve">B</t>
        </is>
      </c>
      <c r="F98" s="2" t="str">
        <f>HYPERLINK("https://yandex.ru/maps/?pt=73.409206,55.007085&amp;z=17","открыть")</f>
        <v>открыть</v>
      </c>
      <c r="G98" s="2" t="str">
        <f>HYPERLINK("https://mediafasadomsk.com/surfaces/bb-barnaulskaya-ul-48-naprotiv-vostochnaya-8-ya-ul-a-900.jpg","смотреть")</f>
        <v>смотреть</v>
      </c>
      <c r="H98">
        <v>55.007085</v>
      </c>
      <c r="I98">
        <v>73.409206</v>
      </c>
    </row>
    <row r="99">
      <c r="A99">
        <v>98</v>
      </c>
      <c r="B99" t="inlineStr">
        <is>
          <t xml:space="preserve">Берёзовая, 3</t>
        </is>
      </c>
      <c r="C99" t="inlineStr">
        <is>
          <t xml:space="preserve">Цифровой билборд</t>
        </is>
      </c>
      <c r="D99" t="inlineStr">
        <is>
          <t xml:space="preserve">6×3</t>
        </is>
      </c>
      <c r="E99" t="inlineStr">
        <is>
          <t xml:space="preserve">A, B</t>
        </is>
      </c>
      <c r="F99" s="2" t="str">
        <f>HYPERLINK("https://yandex.ru/maps/?pt=73.338492,55.022156&amp;z=17","открыть")</f>
        <v>открыть</v>
      </c>
      <c r="G99" s="2" t="str">
        <f>HYPERLINK("https://mediafasadomsk.com/surfaces/bb-berezovaya-ul-3-a-900.jpg","смотреть")</f>
        <v>смотреть</v>
      </c>
      <c r="H99">
        <v>55.022156</v>
      </c>
      <c r="I99">
        <v>73.338492</v>
      </c>
    </row>
    <row r="100">
      <c r="A100">
        <v>99</v>
      </c>
      <c r="B100" t="inlineStr">
        <is>
          <t xml:space="preserve">Богдана Хмельницкого, напротив дома 150 (у пересечения с улицей Масленникова, светофор, ТЦ «Парк»)</t>
        </is>
      </c>
      <c r="C100" t="inlineStr">
        <is>
          <t xml:space="preserve">Билборд</t>
        </is>
      </c>
      <c r="D100" t="inlineStr">
        <is>
          <t xml:space="preserve">6×3</t>
        </is>
      </c>
      <c r="E100" t="inlineStr">
        <is>
          <t xml:space="preserve">A, B</t>
        </is>
      </c>
      <c r="F100" s="2" t="str">
        <f>HYPERLINK("https://yandex.ru/maps/?pt=73.41169999999993,54.97480000000002&amp;z=17","открыть")</f>
        <v>открыть</v>
      </c>
      <c r="G100" s="2" t="str">
        <f>HYPERLINK("https://mediafasadomsk.com/surfaces/bb-bogdana-hmelnickogo-ul-150-naprotiv-h-s-ul-maslennikova-svetofor-tc-park-a-900.jpg","смотреть")</f>
        <v>смотреть</v>
      </c>
      <c r="H100">
        <v>54.97480000000002</v>
      </c>
      <c r="I100">
        <v>73.41169999999993</v>
      </c>
    </row>
    <row r="101">
      <c r="A101">
        <v>100</v>
      </c>
      <c r="B101" t="inlineStr">
        <is>
          <t xml:space="preserve">Богдана Хмельницкого, 154, центральная разделительная полоса, после пересечения с улицей Масленникова (светофор, ТЦ «Парк»)</t>
        </is>
      </c>
      <c r="C101" t="inlineStr">
        <is>
          <t xml:space="preserve">Цифровой билборд</t>
        </is>
      </c>
      <c r="D101" t="inlineStr">
        <is>
          <t xml:space="preserve">6×3</t>
        </is>
      </c>
      <c r="E101" t="inlineStr">
        <is>
          <t xml:space="preserve">A1</t>
        </is>
      </c>
      <c r="F101" s="2" t="str">
        <f>HYPERLINK("https://yandex.ru/maps/?pt=73.41179999999981,54.97410000000002&amp;z=17","открыть")</f>
        <v>открыть</v>
      </c>
      <c r="G101" s="2" t="str">
        <f>HYPERLINK("https://mediafasadomsk.com/surfaces/bb-bogdana-hmelnickogo-ul-154-crp-posle-h-s-ul-maslennikova-svetofor-tc-park-a-900.jpg","смотреть")</f>
        <v>смотреть</v>
      </c>
      <c r="H101">
        <v>54.97410000000002</v>
      </c>
      <c r="I101">
        <v>73.41179999999981</v>
      </c>
    </row>
    <row r="102">
      <c r="A102">
        <v>101</v>
      </c>
      <c r="B102" t="inlineStr">
        <is>
          <t xml:space="preserve">Богдана Хмельницкого, 160, центральная разделительная полоса (светофор)</t>
        </is>
      </c>
      <c r="C102" t="inlineStr">
        <is>
          <t xml:space="preserve">Призматрон</t>
        </is>
      </c>
      <c r="D102" t="inlineStr">
        <is>
          <t xml:space="preserve">6×3</t>
        </is>
      </c>
      <c r="E102" t="inlineStr">
        <is>
          <t xml:space="preserve">A1</t>
        </is>
      </c>
      <c r="F102" s="2" t="str">
        <f>HYPERLINK("https://yandex.ru/maps/?pt=73.412072361639,54.97261616295532&amp;z=17","открыть")</f>
        <v>открыть</v>
      </c>
      <c r="G102" s="2" t="str">
        <f>HYPERLINK("https://mediafasadomsk.com/surfaces/bb-bogdana-hmelnickogo-ul-160-crp-svetofor-a-900.jpg","смотреть")</f>
        <v>смотреть</v>
      </c>
      <c r="H102">
        <v>54.97261616295532</v>
      </c>
      <c r="I102">
        <v>73.412072361639</v>
      </c>
    </row>
    <row r="103">
      <c r="A103">
        <v>102</v>
      </c>
      <c r="B103" t="inlineStr">
        <is>
          <t xml:space="preserve">Богдана Хмельницкого, 160, центральная разделительная полоса (светофор)</t>
        </is>
      </c>
      <c r="C103" t="inlineStr">
        <is>
          <t xml:space="preserve">Билборд</t>
        </is>
      </c>
      <c r="D103" t="inlineStr">
        <is>
          <t xml:space="preserve">6×3</t>
        </is>
      </c>
      <c r="E103" t="inlineStr">
        <is>
          <t xml:space="preserve">B</t>
        </is>
      </c>
      <c r="F103" s="2" t="str">
        <f>HYPERLINK("https://yandex.ru/maps/?pt=73.412072361639,54.97261616295532&amp;z=17","открыть")</f>
        <v>открыть</v>
      </c>
      <c r="G103" s="2" t="str">
        <f>HYPERLINK("https://mediafasadomsk.com/surfaces/bb-bogdana-hmelnickogo-ul-160-crp-svetofor-b-a-900.jpg","смотреть")</f>
        <v>смотреть</v>
      </c>
      <c r="H103">
        <v>54.97261616295532</v>
      </c>
      <c r="I103">
        <v>73.412072361639</v>
      </c>
    </row>
    <row r="104">
      <c r="A104">
        <v>103</v>
      </c>
      <c r="B104" t="inlineStr">
        <is>
          <t xml:space="preserve">Богдана Хмельницкого, 168, центральная разделительная полоса</t>
        </is>
      </c>
      <c r="C104" t="inlineStr">
        <is>
          <t xml:space="preserve">Билборд</t>
        </is>
      </c>
      <c r="D104" t="inlineStr">
        <is>
          <t xml:space="preserve">6×3</t>
        </is>
      </c>
      <c r="E104" t="inlineStr">
        <is>
          <t xml:space="preserve">A</t>
        </is>
      </c>
      <c r="F104" s="2" t="str">
        <f>HYPERLINK("https://yandex.ru/maps/?pt=73.41238851289779,54.970706138940315&amp;z=17","открыть")</f>
        <v>открыть</v>
      </c>
      <c r="G104" s="2" t="str">
        <f>HYPERLINK("https://mediafasadomsk.com/surfaces/bb-bogdana-hmelnickogo-ul-168-crp-a-900.jpg","смотреть")</f>
        <v>смотреть</v>
      </c>
      <c r="H104">
        <v>54.970706138940315</v>
      </c>
      <c r="I104">
        <v>73.41238851289779</v>
      </c>
    </row>
    <row r="105">
      <c r="A105">
        <v>104</v>
      </c>
      <c r="B105" t="inlineStr">
        <is>
          <t xml:space="preserve">Богдана Хмельницкого, 180, центральная разделительная полоса</t>
        </is>
      </c>
      <c r="C105" t="inlineStr">
        <is>
          <t xml:space="preserve">Билборд</t>
        </is>
      </c>
      <c r="D105" t="inlineStr">
        <is>
          <t xml:space="preserve">6×3</t>
        </is>
      </c>
      <c r="E105" t="inlineStr">
        <is>
          <t xml:space="preserve">A</t>
        </is>
      </c>
      <c r="F105" s="2" t="str">
        <f>HYPERLINK("https://yandex.ru/maps/?pt=73.41291218881621,54.96782558756077&amp;z=17","открыть")</f>
        <v>открыть</v>
      </c>
      <c r="G105" s="2" t="str">
        <f>HYPERLINK("https://mediafasadomsk.com/surfaces/bb-bogdana-hmelnickogo-ul-180-crp-a-900.jpg","смотреть")</f>
        <v>смотреть</v>
      </c>
      <c r="H105">
        <v>54.96782558756077</v>
      </c>
      <c r="I105">
        <v>73.41291218881621</v>
      </c>
    </row>
    <row r="106">
      <c r="A106">
        <v>105</v>
      </c>
      <c r="B106" t="inlineStr">
        <is>
          <t xml:space="preserve">Богдана Хмельницкого, 184, центральная разделительная полоса, пересечение с улицей Лизы Чайкиной (светофор)</t>
        </is>
      </c>
      <c r="C106" t="inlineStr">
        <is>
          <t xml:space="preserve">Билборд</t>
        </is>
      </c>
      <c r="D106" t="inlineStr">
        <is>
          <t xml:space="preserve">6×3</t>
        </is>
      </c>
      <c r="E106" t="inlineStr">
        <is>
          <t xml:space="preserve">A</t>
        </is>
      </c>
      <c r="F106" s="2" t="str">
        <f>HYPERLINK("https://yandex.ru/maps/?pt=73.41379999999982,54.96659999999999&amp;z=17","открыть")</f>
        <v>открыть</v>
      </c>
      <c r="G106" s="2" t="str">
        <f>HYPERLINK("https://mediafasadomsk.com/surfaces/bb-bogdana-hmelnickogo-ul-184-crp-h-s-ul-lizy-chajkinoj-svetofor-a-900.jpg","смотреть")</f>
        <v>смотреть</v>
      </c>
      <c r="H106">
        <v>54.96659999999999</v>
      </c>
      <c r="I106">
        <v>73.41379999999982</v>
      </c>
    </row>
    <row r="107">
      <c r="A107">
        <v>106</v>
      </c>
      <c r="B107" t="inlineStr">
        <is>
          <t xml:space="preserve">Богдана Хмельницкого, 188, центральная разделительная полоса (светофор)</t>
        </is>
      </c>
      <c r="C107" t="inlineStr">
        <is>
          <t xml:space="preserve">Билборд</t>
        </is>
      </c>
      <c r="D107" t="inlineStr">
        <is>
          <t xml:space="preserve">6×3</t>
        </is>
      </c>
      <c r="E107" t="inlineStr">
        <is>
          <t xml:space="preserve">A</t>
        </is>
      </c>
      <c r="F107" s="2" t="str">
        <f>HYPERLINK("https://yandex.ru/maps/?pt=73.41328233365981,54.96565765278234&amp;z=17","открыть")</f>
        <v>открыть</v>
      </c>
      <c r="G107" s="2" t="str">
        <f>HYPERLINK("https://mediafasadomsk.com/surfaces/bb-bogdana-hmelnickogo-ul-188-crp-svetofor-a-900.jpg","смотреть")</f>
        <v>смотреть</v>
      </c>
      <c r="H107">
        <v>54.96565765278234</v>
      </c>
      <c r="I107">
        <v>73.41328233365981</v>
      </c>
    </row>
    <row r="108">
      <c r="A108">
        <v>107</v>
      </c>
      <c r="B108" t="inlineStr">
        <is>
          <t xml:space="preserve">Богдана Хмельницкого, 192, центральная разделительная полоса, пересечение с улицей Ипподромная</t>
        </is>
      </c>
      <c r="C108" t="inlineStr">
        <is>
          <t xml:space="preserve">Билборд</t>
        </is>
      </c>
      <c r="D108" t="inlineStr">
        <is>
          <t xml:space="preserve">6×3</t>
        </is>
      </c>
      <c r="E108" t="inlineStr">
        <is>
          <t xml:space="preserve">A</t>
        </is>
      </c>
      <c r="F108" s="2" t="str">
        <f>HYPERLINK("https://yandex.ru/maps/?pt=73.4134915459632,54.964398101376794&amp;z=17","открыть")</f>
        <v>открыть</v>
      </c>
      <c r="G108" s="2" t="str">
        <f>HYPERLINK("https://mediafasadomsk.com/surfaces/bb-bogdana-hmelnickogo-ul-192-crp-h-s-ul-ippodromnaya-a-900.jpg","смотреть")</f>
        <v>смотреть</v>
      </c>
      <c r="H108">
        <v>54.964398101376794</v>
      </c>
      <c r="I108">
        <v>73.4134915459632</v>
      </c>
    </row>
    <row r="109">
      <c r="A109">
        <v>108</v>
      </c>
      <c r="B109" t="inlineStr">
        <is>
          <t xml:space="preserve">Богдана Хмельницкого, 222, центральная разделительная полоса, пересечение с улицей Транспортная 3-я (светофор)</t>
        </is>
      </c>
      <c r="C109" t="inlineStr">
        <is>
          <t xml:space="preserve">Призматрон</t>
        </is>
      </c>
      <c r="D109" t="inlineStr">
        <is>
          <t xml:space="preserve">6×3</t>
        </is>
      </c>
      <c r="E109" t="inlineStr">
        <is>
          <t xml:space="preserve">A1</t>
        </is>
      </c>
      <c r="F109" s="2" t="str">
        <f>HYPERLINK("https://yandex.ru/maps/?pt=73.41419999999994,54.95730000000002&amp;z=17","открыть")</f>
        <v>открыть</v>
      </c>
      <c r="G109" s="2" t="str">
        <f>HYPERLINK("https://mediafasadomsk.com/surfaces/bb-bogdana-hmelnickogo-ul-222-crp-h-s-ul-transportnaya-3-ya-svetofor-a-900.jpg","смотреть")</f>
        <v>смотреть</v>
      </c>
      <c r="H109">
        <v>54.95730000000002</v>
      </c>
      <c r="I109">
        <v>73.41419999999994</v>
      </c>
    </row>
    <row r="110">
      <c r="A110">
        <v>109</v>
      </c>
      <c r="B110" t="inlineStr">
        <is>
          <t xml:space="preserve">Богдана Хмельницкого, 223, центральная разделительная полоса</t>
        </is>
      </c>
      <c r="C110" t="inlineStr">
        <is>
          <t xml:space="preserve">Билборд</t>
        </is>
      </c>
      <c r="D110" t="inlineStr">
        <is>
          <t xml:space="preserve">6×3</t>
        </is>
      </c>
      <c r="E110" t="inlineStr">
        <is>
          <t xml:space="preserve">A</t>
        </is>
      </c>
      <c r="F110" s="2" t="str">
        <f>HYPERLINK("https://yandex.ru/maps/?pt=73.41353982572583,54.96794568405681&amp;z=17","открыть")</f>
        <v>открыть</v>
      </c>
      <c r="G110" s="2" t="str">
        <f>HYPERLINK("https://mediafasadomsk.com/surfaces/bb-bogdana-hmelnickogo-ul-223-crp-a-900.jpg","смотреть")</f>
        <v>смотреть</v>
      </c>
      <c r="H110">
        <v>54.96794568405681</v>
      </c>
      <c r="I110">
        <v>73.41353982572583</v>
      </c>
    </row>
    <row r="111">
      <c r="A111">
        <v>110</v>
      </c>
      <c r="B111" t="inlineStr">
        <is>
          <t xml:space="preserve">Богдана Хмельницкого, 226, центральная разделительная полоса (светофор)</t>
        </is>
      </c>
      <c r="C111" t="inlineStr">
        <is>
          <t xml:space="preserve">Цифровой билборд</t>
        </is>
      </c>
      <c r="D111" t="inlineStr">
        <is>
          <t xml:space="preserve">6×3</t>
        </is>
      </c>
      <c r="E111" t="inlineStr">
        <is>
          <t xml:space="preserve">A1</t>
        </is>
      </c>
      <c r="F111" s="2" t="str">
        <f>HYPERLINK("https://yandex.ru/maps/?pt=73.41443503802931,54.95517433660616&amp;z=17","открыть")</f>
        <v>открыть</v>
      </c>
      <c r="G111" s="2" t="str">
        <f>HYPERLINK("https://mediafasadomsk.com/surfaces/bb-bogdana-hmelnickogo-ul-226-crp-svetofor-a-900.jpg","смотреть")</f>
        <v>смотреть</v>
      </c>
      <c r="H111">
        <v>54.95517433660616</v>
      </c>
      <c r="I111">
        <v>73.41443503802931</v>
      </c>
    </row>
    <row r="112">
      <c r="A112">
        <v>111</v>
      </c>
      <c r="B112" t="inlineStr">
        <is>
          <t xml:space="preserve">Богдана Хмельницкого, 226, центральная разделительная полоса (светофор)</t>
        </is>
      </c>
      <c r="C112" t="inlineStr">
        <is>
          <t xml:space="preserve">Билборд</t>
        </is>
      </c>
      <c r="D112" t="inlineStr">
        <is>
          <t xml:space="preserve">6×3</t>
        </is>
      </c>
      <c r="E112" t="inlineStr">
        <is>
          <t xml:space="preserve">B</t>
        </is>
      </c>
      <c r="F112" s="2" t="str">
        <f>HYPERLINK("https://yandex.ru/maps/?pt=73.41443503802931,54.95517433660616&amp;z=17","открыть")</f>
        <v>открыть</v>
      </c>
      <c r="G112" s="2" t="str">
        <f>HYPERLINK("https://mediafasadomsk.com/surfaces/bb-bogdana-hmelnickogo-ul-226-crp-svetofor-b-a-900.jpg","смотреть")</f>
        <v>смотреть</v>
      </c>
      <c r="H112">
        <v>54.95517433660616</v>
      </c>
      <c r="I112">
        <v>73.41443503802931</v>
      </c>
    </row>
    <row r="113">
      <c r="A113">
        <v>112</v>
      </c>
      <c r="B113" t="inlineStr">
        <is>
          <t xml:space="preserve">Богдана Хмельницкого, напротив дома 234, пересечение с улицей Транспортная 4-я</t>
        </is>
      </c>
      <c r="C113" t="inlineStr">
        <is>
          <t xml:space="preserve">Билборд</t>
        </is>
      </c>
      <c r="D113" t="inlineStr">
        <is>
          <t xml:space="preserve">6×3</t>
        </is>
      </c>
      <c r="E113" t="inlineStr">
        <is>
          <t xml:space="preserve">A, B</t>
        </is>
      </c>
      <c r="F113" s="2" t="str">
        <f>HYPERLINK("https://yandex.ru/maps/?pt=73.41579999999983,54.95270000000001&amp;z=17","открыть")</f>
        <v>открыть</v>
      </c>
      <c r="G113" s="2" t="str">
        <f>HYPERLINK("https://mediafasadomsk.com/surfaces/bb-bogdana-hmelnickogo-ul-234-naprotiv-h-s-ul-transportnaya-4-ya-a-900.jpg","смотреть")</f>
        <v>смотреть</v>
      </c>
      <c r="H113">
        <v>54.95270000000001</v>
      </c>
      <c r="I113">
        <v>73.41579999999983</v>
      </c>
    </row>
    <row r="114">
      <c r="A114">
        <v>113</v>
      </c>
      <c r="B114" t="inlineStr">
        <is>
          <t xml:space="preserve">Богдана Хмельницкого, 236, пересечение с улицей Военная 2-я</t>
        </is>
      </c>
      <c r="C114" t="inlineStr">
        <is>
          <t xml:space="preserve">Билборд</t>
        </is>
      </c>
      <c r="D114" t="inlineStr">
        <is>
          <t xml:space="preserve">6×3</t>
        </is>
      </c>
      <c r="E114" t="inlineStr">
        <is>
          <t xml:space="preserve">A, B</t>
        </is>
      </c>
      <c r="F114" s="2" t="str">
        <f>HYPERLINK("https://yandex.ru/maps/?pt=73.414917553235,54.9513905372964&amp;z=17","открыть")</f>
        <v>открыть</v>
      </c>
      <c r="G114" s="2" t="str">
        <f>HYPERLINK("https://mediafasadomsk.com/surfaces/bb-bogdana-hmelnickogo-ul-236-h-s-ul-voennaya-2-ya-a-900.jpg","смотреть")</f>
        <v>смотреть</v>
      </c>
      <c r="H114">
        <v>54.9513905372964</v>
      </c>
      <c r="I114">
        <v>73.414917553235</v>
      </c>
    </row>
    <row r="115">
      <c r="A115">
        <v>114</v>
      </c>
      <c r="B115" t="inlineStr">
        <is>
          <t xml:space="preserve">Богдана Хмельницкого, напротив дома 236, 150 м до пересечения с улицей Транспортная 4-я</t>
        </is>
      </c>
      <c r="C115" t="inlineStr">
        <is>
          <t xml:space="preserve">Билборд</t>
        </is>
      </c>
      <c r="D115" t="inlineStr">
        <is>
          <t xml:space="preserve">6×3</t>
        </is>
      </c>
      <c r="E115" t="inlineStr">
        <is>
          <t xml:space="preserve">A</t>
        </is>
      </c>
      <c r="F115" s="2" t="str">
        <f>HYPERLINK("https://yandex.ru/maps/?pt=73.41604408101979,54.95135049024366&amp;z=17","открыть")</f>
        <v>открыть</v>
      </c>
      <c r="G115" s="2" t="str">
        <f>HYPERLINK("https://mediafasadomsk.com/surfaces/bb-bogdana-hmelnickogo-ul-236-naprotiv-150-m-do-h-s-ul-transportnaya-4-ya-a-900.jpg","смотреть")</f>
        <v>смотреть</v>
      </c>
      <c r="H115">
        <v>54.95135049024366</v>
      </c>
      <c r="I115">
        <v>73.41604408101979</v>
      </c>
    </row>
    <row r="116">
      <c r="A116">
        <v>115</v>
      </c>
      <c r="B116" t="inlineStr">
        <is>
          <t xml:space="preserve">Богдана Хмельницкого, 283/1, центральная разделительная полоса, пересечение с улицей Транспортная 2-я</t>
        </is>
      </c>
      <c r="C116" t="inlineStr">
        <is>
          <t xml:space="preserve">Билборд</t>
        </is>
      </c>
      <c r="D116" t="inlineStr">
        <is>
          <t xml:space="preserve">6×3</t>
        </is>
      </c>
      <c r="E116" t="inlineStr">
        <is>
          <t xml:space="preserve">A</t>
        </is>
      </c>
      <c r="F116" s="2" t="str">
        <f>HYPERLINK("https://yandex.ru/maps/?pt=73.41460883617408,54.95950576150445&amp;z=17","открыть")</f>
        <v>открыть</v>
      </c>
      <c r="G116" s="2" t="str">
        <f>HYPERLINK("https://mediafasadomsk.com/surfaces/bb-bogdana-hmelnickogo-ul-283-1-crp-h-s-ul-transportnaya-2-ya-a-900.jpg","смотреть")</f>
        <v>смотреть</v>
      </c>
      <c r="H116">
        <v>54.95950576150445</v>
      </c>
      <c r="I116">
        <v>73.41460883617408</v>
      </c>
    </row>
    <row r="117">
      <c r="A117">
        <v>116</v>
      </c>
      <c r="B117" t="inlineStr">
        <is>
          <t xml:space="preserve">Богдана Хмельницкого, 283 литер АЖ</t>
        </is>
      </c>
      <c r="C117" t="inlineStr">
        <is>
          <t xml:space="preserve">Билборд</t>
        </is>
      </c>
      <c r="D117" t="inlineStr">
        <is>
          <t xml:space="preserve">6×3</t>
        </is>
      </c>
      <c r="E117" t="inlineStr">
        <is>
          <t xml:space="preserve">A</t>
        </is>
      </c>
      <c r="F117" s="2" t="str">
        <f>HYPERLINK("https://yandex.ru/maps/?pt=73.4143981326105,54.96383761154934&amp;z=17","открыть")</f>
        <v>открыть</v>
      </c>
      <c r="G117" s="2" t="str">
        <f>HYPERLINK("https://mediafasadomsk.com/surfaces/bb-bogdana-hmelnickogo-ul-283litazh-a-900.jpg","смотреть")</f>
        <v>смотреть</v>
      </c>
      <c r="H117">
        <v>54.96383761154934</v>
      </c>
      <c r="I117">
        <v>73.4143981326105</v>
      </c>
    </row>
    <row r="118">
      <c r="A118">
        <v>117</v>
      </c>
      <c r="B118" t="inlineStr">
        <is>
          <t xml:space="preserve">Богдана Хмельницкого, 283 литер АЖ-283А, центральная разделительная полоса, пересечение с улицей Ипподромная</t>
        </is>
      </c>
      <c r="C118" t="inlineStr">
        <is>
          <t xml:space="preserve">Билборд</t>
        </is>
      </c>
      <c r="D118" t="inlineStr">
        <is>
          <t xml:space="preserve">6×3</t>
        </is>
      </c>
      <c r="E118" t="inlineStr">
        <is>
          <t xml:space="preserve">A1</t>
        </is>
      </c>
      <c r="F118" s="2" t="str">
        <f>HYPERLINK("https://yandex.ru/maps/?pt=73.41409236078242,54.964404260694174&amp;z=17","открыть")</f>
        <v>открыть</v>
      </c>
      <c r="G118" s="2" t="str">
        <f>HYPERLINK("https://mediafasadomsk.com/surfaces/bb-bogdana-hmelnickogo-ul-283litazh-283a-crp-h-s-ul-ippodromnaya-a-900.jpg","смотреть")</f>
        <v>смотреть</v>
      </c>
      <c r="H118">
        <v>54.964404260694174</v>
      </c>
      <c r="I118">
        <v>73.41409236078242</v>
      </c>
    </row>
    <row r="119">
      <c r="A119">
        <v>118</v>
      </c>
      <c r="B119" t="inlineStr">
        <is>
          <t xml:space="preserve">Богдана Хмельницкого, 287, центральная разделительная полоса (светофор)</t>
        </is>
      </c>
      <c r="C119" t="inlineStr">
        <is>
          <t xml:space="preserve">Цифровой билборд</t>
        </is>
      </c>
      <c r="D119" t="inlineStr">
        <is>
          <t xml:space="preserve">6×3</t>
        </is>
      </c>
      <c r="E119" t="inlineStr">
        <is>
          <t xml:space="preserve">A1</t>
        </is>
      </c>
      <c r="F119" s="2" t="str">
        <f>HYPERLINK("https://yandex.ru/maps/?pt=73.41502512401155,54.95589204958494&amp;z=17","открыть")</f>
        <v>открыть</v>
      </c>
      <c r="G119" s="2" t="str">
        <f>HYPERLINK("https://mediafasadomsk.com/surfaces/bb-bogdana-hmelnickogo-ul-287-crp-svetofor-a-900.jpg","смотреть")</f>
        <v>смотреть</v>
      </c>
      <c r="H119">
        <v>54.95589204958494</v>
      </c>
      <c r="I119">
        <v>73.41502512401155</v>
      </c>
    </row>
    <row r="120">
      <c r="A120">
        <v>119</v>
      </c>
      <c r="B120" t="inlineStr">
        <is>
          <t xml:space="preserve">Богдана Хмельницкого, 38/2 (120 м после съезда с Октябрьского моста)</t>
        </is>
      </c>
      <c r="C120" t="inlineStr">
        <is>
          <t xml:space="preserve">Билборд</t>
        </is>
      </c>
      <c r="D120" t="inlineStr">
        <is>
          <t xml:space="preserve">6×3</t>
        </is>
      </c>
      <c r="E120" t="inlineStr">
        <is>
          <t xml:space="preserve">A, B</t>
        </is>
      </c>
      <c r="F120" s="2" t="str">
        <f>HYPERLINK("https://yandex.ru/maps/?pt=73.40897150646293,54.9933865543936&amp;z=17","открыть")</f>
        <v>открыть</v>
      </c>
      <c r="G120" s="2" t="str">
        <f>HYPERLINK("https://mediafasadomsk.com/surfaces/bb-bogdana-hmelnickogo-ul-38-2-120-m-posle-sezda-s-oktyabrskogo-mosta-a-900.jpg","смотреть")</f>
        <v>смотреть</v>
      </c>
      <c r="H120">
        <v>54.9933865543936</v>
      </c>
      <c r="I120">
        <v>73.40897150646293</v>
      </c>
    </row>
    <row r="121">
      <c r="A121">
        <v>120</v>
      </c>
      <c r="B121" t="inlineStr">
        <is>
          <t xml:space="preserve">Богдана Хмельницкого, напротив дома 38/2 (120 м до въезда на Октябрьский мост)</t>
        </is>
      </c>
      <c r="C121" t="inlineStr">
        <is>
          <t xml:space="preserve">Билборд</t>
        </is>
      </c>
      <c r="D121" t="inlineStr">
        <is>
          <t xml:space="preserve">6×3</t>
        </is>
      </c>
      <c r="E121" t="inlineStr">
        <is>
          <t xml:space="preserve">A, B</t>
        </is>
      </c>
      <c r="F121" s="2" t="str">
        <f>HYPERLINK("https://yandex.ru/maps/?pt=73.40935774456112,54.993395786732016&amp;z=17","открыть")</f>
        <v>открыть</v>
      </c>
      <c r="G121" s="2" t="str">
        <f>HYPERLINK("https://mediafasadomsk.com/surfaces/bb-bogdana-hmelnickogo-ul-38-2-naprotiv-120-m-do-vezda-na-oktyabrskij-most-a-900.jpg","смотреть")</f>
        <v>смотреть</v>
      </c>
      <c r="H121">
        <v>54.993395786732016</v>
      </c>
      <c r="I121">
        <v>73.40935774456112</v>
      </c>
    </row>
    <row r="122">
      <c r="A122">
        <v>121</v>
      </c>
      <c r="B122" t="inlineStr">
        <is>
          <t xml:space="preserve">Богдана Хмельницкого, 40</t>
        </is>
      </c>
      <c r="C122" t="inlineStr">
        <is>
          <t xml:space="preserve">Цифровой билборд</t>
        </is>
      </c>
      <c r="D122" t="inlineStr">
        <is>
          <t xml:space="preserve">6×3</t>
        </is>
      </c>
      <c r="E122" t="inlineStr">
        <is>
          <t xml:space="preserve">A</t>
        </is>
      </c>
      <c r="F122" s="2" t="str">
        <f>HYPERLINK("https://yandex.ru/maps/?pt=73.408028,54.992391&amp;z=17","открыть")</f>
        <v>открыть</v>
      </c>
      <c r="G122" s="2" t="str">
        <f>HYPERLINK("https://mediafasadomsk.com/surfaces/bb-bogdana-hmelnickogo-ul-40-a-900.jpg","смотреть")</f>
        <v>смотреть</v>
      </c>
      <c r="H122">
        <v>54.992391</v>
      </c>
      <c r="I122">
        <v>73.408028</v>
      </c>
    </row>
    <row r="123">
      <c r="A123">
        <v>122</v>
      </c>
      <c r="B123" t="inlineStr">
        <is>
          <t xml:space="preserve">Богдана Хмельницкого, 42А</t>
        </is>
      </c>
      <c r="C123" t="inlineStr">
        <is>
          <t xml:space="preserve">Билборд</t>
        </is>
      </c>
      <c r="D123" t="inlineStr">
        <is>
          <t xml:space="preserve">6×3</t>
        </is>
      </c>
      <c r="E123" t="inlineStr">
        <is>
          <t xml:space="preserve">A</t>
        </is>
      </c>
      <c r="F123" s="2" t="str">
        <f>HYPERLINK("https://yandex.ru/maps/?pt=73.408751,54.988635&amp;z=17","открыть")</f>
        <v>открыть</v>
      </c>
      <c r="G123" s="2" t="str">
        <f>HYPERLINK("https://mediafasadomsk.com/surfaces/bb-bogdana-hmelnickogo-ul-42a-a-900.jpg","смотреть")</f>
        <v>смотреть</v>
      </c>
      <c r="H123">
        <v>54.988635</v>
      </c>
      <c r="I123">
        <v>73.408751</v>
      </c>
    </row>
    <row r="124">
      <c r="A124">
        <v>123</v>
      </c>
      <c r="B124" t="inlineStr">
        <is>
          <t xml:space="preserve">Богдана Хмельницкого, 44</t>
        </is>
      </c>
      <c r="C124" t="inlineStr">
        <is>
          <t xml:space="preserve">Билборд</t>
        </is>
      </c>
      <c r="D124" t="inlineStr">
        <is>
          <t xml:space="preserve">6×3</t>
        </is>
      </c>
      <c r="E124" t="inlineStr">
        <is>
          <t xml:space="preserve">A</t>
        </is>
      </c>
      <c r="F124" s="2" t="str">
        <f>HYPERLINK("https://yandex.ru/maps/?pt=73.408917,54.98778&amp;z=17","открыть")</f>
        <v>открыть</v>
      </c>
      <c r="G124" s="2" t="str">
        <f>HYPERLINK("https://mediafasadomsk.com/surfaces/bb-bogdana-hmelnickogo-ul-44-a-900.jpg","смотреть")</f>
        <v>смотреть</v>
      </c>
      <c r="H124">
        <v>54.98778</v>
      </c>
      <c r="I124">
        <v>73.408917</v>
      </c>
    </row>
    <row r="125">
      <c r="A125">
        <v>124</v>
      </c>
      <c r="B125" t="inlineStr">
        <is>
          <t xml:space="preserve">Богдана Хмельницкого, 96 (светофор, ТЦ «Парк»)</t>
        </is>
      </c>
      <c r="C125" t="inlineStr">
        <is>
          <t xml:space="preserve">Цифровой билборд</t>
        </is>
      </c>
      <c r="D125" t="inlineStr">
        <is>
          <t xml:space="preserve">6×3</t>
        </is>
      </c>
      <c r="E125" t="inlineStr">
        <is>
          <t xml:space="preserve">A1</t>
        </is>
      </c>
      <c r="F125" s="2" t="str">
        <f>HYPERLINK("https://yandex.ru/maps/?pt=73.41302219999993,54.97294561000002&amp;z=17","открыть")</f>
        <v>открыть</v>
      </c>
      <c r="G125" s="2" t="str">
        <f>HYPERLINK("https://mediafasadomsk.com/surfaces/bb-bogdana-hmelnickogo-ul-96-svetofor-tc-park-a-900.jpg","смотреть")</f>
        <v>смотреть</v>
      </c>
      <c r="H125">
        <v>54.97294561000002</v>
      </c>
      <c r="I125">
        <v>73.41302219999993</v>
      </c>
    </row>
    <row r="126">
      <c r="A126">
        <v>125</v>
      </c>
      <c r="B126" t="inlineStr">
        <is>
          <t xml:space="preserve">Богдана Хмельницкого, Арнольда Нейбута ул., 46,12x3</t>
        </is>
      </c>
      <c r="C126" t="inlineStr">
        <is>
          <t xml:space="preserve">Билборд</t>
        </is>
      </c>
      <c r="D126" t="inlineStr">
        <is>
          <t xml:space="preserve">6×3</t>
        </is>
      </c>
      <c r="E126" t="inlineStr">
        <is>
          <t xml:space="preserve">A, A1, B, B1</t>
        </is>
      </c>
      <c r="F126" s="2" t="str">
        <f>HYPERLINK("https://yandex.ru/maps/?pt=73.409112,54.9929&amp;z=17","открыть")</f>
        <v>открыть</v>
      </c>
      <c r="G126" s="2" t="str">
        <f>HYPERLINK("https://mediafasadomsk.com/surfaces/bb-bogdana-hmelnickogo-ul-arnolda-nejbuta-ul-46-12x3-a-900.jpg","смотреть")</f>
        <v>смотреть</v>
      </c>
      <c r="H126">
        <v>54.9929</v>
      </c>
      <c r="I126">
        <v>73.409112</v>
      </c>
    </row>
    <row r="127">
      <c r="A127">
        <v>126</v>
      </c>
      <c r="B127" t="inlineStr">
        <is>
          <t xml:space="preserve">Богдана Хмельницкого, центральная разделительная полоса, до пересечения с улицей Масленникова (светофор, ТЦ «Парк»)</t>
        </is>
      </c>
      <c r="C127" t="inlineStr">
        <is>
          <t xml:space="preserve">Цифровой билборд</t>
        </is>
      </c>
      <c r="D127" t="inlineStr">
        <is>
          <t xml:space="preserve">6×3</t>
        </is>
      </c>
      <c r="E127" t="inlineStr">
        <is>
          <t xml:space="preserve">A1</t>
        </is>
      </c>
      <c r="F127" s="2" t="str">
        <f>HYPERLINK("https://yandex.ru/maps/?pt=73.41237455606473,54.97406848274971&amp;z=17","открыть")</f>
        <v>открыть</v>
      </c>
      <c r="G127" s="2" t="str">
        <f>HYPERLINK("https://mediafasadomsk.com/surfaces/bb-bogdana-hmelnickogo-ul-crp-do-h-s-ul-maslennikova-svetofor-tc-park-a-900.jpg","смотреть")</f>
        <v>смотреть</v>
      </c>
      <c r="H127">
        <v>54.97406848274971</v>
      </c>
      <c r="I127">
        <v>73.41237455606473</v>
      </c>
    </row>
    <row r="128">
      <c r="A128">
        <v>127</v>
      </c>
      <c r="B128" t="inlineStr">
        <is>
          <t xml:space="preserve">Пересечение Богдана Хмельницкого и Масленникова (светофор, ТЦ «Парк»)</t>
        </is>
      </c>
      <c r="C128" t="inlineStr">
        <is>
          <t xml:space="preserve">Призматрон</t>
        </is>
      </c>
      <c r="D128" t="inlineStr">
        <is>
          <t xml:space="preserve">6×3</t>
        </is>
      </c>
      <c r="E128" t="inlineStr">
        <is>
          <t xml:space="preserve">A1</t>
        </is>
      </c>
      <c r="F128" s="2" t="str">
        <f>HYPERLINK("https://yandex.ru/maps/?pt=73.41207170999978,54.97485201000002&amp;z=17","открыть")</f>
        <v>открыть</v>
      </c>
      <c r="G128" s="2" t="str">
        <f>HYPERLINK("https://mediafasadomsk.com/surfaces/bb-bogdana-hmelnickogo-ul-h-s-ul-maslennikova-svetofor-tc-park-a-900.jpg","смотреть")</f>
        <v>смотреть</v>
      </c>
      <c r="H128">
        <v>54.97485201000002</v>
      </c>
      <c r="I128">
        <v>73.41207170999978</v>
      </c>
    </row>
    <row r="129">
      <c r="A129">
        <v>128</v>
      </c>
      <c r="B129" t="inlineStr">
        <is>
          <t xml:space="preserve">Богдана Хмельницкого, Линия 8-я, 191 (напротив)</t>
        </is>
      </c>
      <c r="C129" t="inlineStr">
        <is>
          <t xml:space="preserve">Билборд</t>
        </is>
      </c>
      <c r="D129" t="inlineStr">
        <is>
          <t xml:space="preserve">6×3</t>
        </is>
      </c>
      <c r="E129" t="inlineStr">
        <is>
          <t xml:space="preserve">A</t>
        </is>
      </c>
      <c r="F129" s="2" t="str">
        <f>HYPERLINK("https://yandex.ru/maps/?pt=73.413218,54.963929&amp;z=17","открыть")</f>
        <v>открыть</v>
      </c>
      <c r="G129" s="2" t="str">
        <f>HYPERLINK("https://mediafasadomsk.com/surfaces/bb-bogdana-hmelnickogo-ul-liniya8-ya-ul-191-naprotiv-a-900.jpg","смотреть")</f>
        <v>смотреть</v>
      </c>
      <c r="H129">
        <v>54.963929</v>
      </c>
      <c r="I129">
        <v>73.413218</v>
      </c>
    </row>
    <row r="130">
      <c r="A130">
        <v>129</v>
      </c>
      <c r="B130" t="inlineStr">
        <is>
          <t xml:space="preserve">Булатова, напротив дома 39 (у пересечения с улицей Орджоникидзе, светофор)</t>
        </is>
      </c>
      <c r="C130" t="inlineStr">
        <is>
          <t xml:space="preserve">Билборд</t>
        </is>
      </c>
      <c r="D130" t="inlineStr">
        <is>
          <t xml:space="preserve">6×3</t>
        </is>
      </c>
      <c r="E130" t="inlineStr">
        <is>
          <t xml:space="preserve">A</t>
        </is>
      </c>
      <c r="F130" s="2" t="str">
        <f>HYPERLINK("https://yandex.ru/maps/?pt=73.3651793003238,54.995822954196065&amp;z=17","открыть")</f>
        <v>открыть</v>
      </c>
      <c r="G130" s="2" t="str">
        <f>HYPERLINK("https://mediafasadomsk.com/surfaces/bb-bulatova-ul-39-naprotiv-h-s-ul-ordzhonikidze-svetofor-a-900.jpg","смотреть")</f>
        <v>смотреть</v>
      </c>
      <c r="H130">
        <v>54.995822954196065</v>
      </c>
      <c r="I130">
        <v>73.3651793003238</v>
      </c>
    </row>
    <row r="131">
      <c r="A131">
        <v>130</v>
      </c>
      <c r="B131" t="inlineStr">
        <is>
          <t xml:space="preserve">Булатова, напротив дома 39, пересечение с улицей Орджоникидзе (светофор), по улице Орджоникидзе</t>
        </is>
      </c>
      <c r="C131" t="inlineStr">
        <is>
          <t xml:space="preserve">Билборд</t>
        </is>
      </c>
      <c r="D131" t="inlineStr">
        <is>
          <t xml:space="preserve">6×3</t>
        </is>
      </c>
      <c r="E131" t="inlineStr">
        <is>
          <t xml:space="preserve">A1</t>
        </is>
      </c>
      <c r="F131" s="2" t="str">
        <f>HYPERLINK("https://yandex.ru/maps/?pt=73.3651793003238,54.995822954196065&amp;z=17","открыть")</f>
        <v>открыть</v>
      </c>
      <c r="G131" s="2" t="str">
        <f>HYPERLINK("https://mediafasadomsk.com/surfaces/bb-bulatova-ul-39-naprotiv-h-s-ul-ordzhonikidze-svetofor-po-ul-ordzhonikidze-a-900.jpg","смотреть")</f>
        <v>смотреть</v>
      </c>
      <c r="H131">
        <v>54.995822954196065</v>
      </c>
      <c r="I131">
        <v>73.3651793003238</v>
      </c>
    </row>
    <row r="132">
      <c r="A132">
        <v>131</v>
      </c>
      <c r="B132" t="inlineStr">
        <is>
          <t xml:space="preserve">Булатова, 51 (светофор)</t>
        </is>
      </c>
      <c r="C132" t="inlineStr">
        <is>
          <t xml:space="preserve">Билборд</t>
        </is>
      </c>
      <c r="D132" t="inlineStr">
        <is>
          <t xml:space="preserve">6×3</t>
        </is>
      </c>
      <c r="E132" t="inlineStr">
        <is>
          <t xml:space="preserve">A</t>
        </is>
      </c>
      <c r="F132" s="2" t="str">
        <f>HYPERLINK("https://yandex.ru/maps/?pt=73.36850000000001,54.995999999999974&amp;z=17","открыть")</f>
        <v>открыть</v>
      </c>
      <c r="G132" s="2" t="str">
        <f>HYPERLINK("https://mediafasadomsk.com/surfaces/bb-bulatova-ul-51-svetofor-a-900.jpg","смотреть")</f>
        <v>смотреть</v>
      </c>
      <c r="H132">
        <v>54.995999999999974</v>
      </c>
      <c r="I132">
        <v>73.36850000000001</v>
      </c>
    </row>
    <row r="133">
      <c r="A133">
        <v>132</v>
      </c>
      <c r="B133" t="inlineStr">
        <is>
          <t xml:space="preserve">Булатова, чётная сторона, до пересечения с улицей Герцена (светофор)</t>
        </is>
      </c>
      <c r="C133" t="inlineStr">
        <is>
          <t xml:space="preserve">Цифровой билборд</t>
        </is>
      </c>
      <c r="D133" t="inlineStr">
        <is>
          <t xml:space="preserve">6×3</t>
        </is>
      </c>
      <c r="E133" t="inlineStr">
        <is>
          <t xml:space="preserve">A1</t>
        </is>
      </c>
      <c r="F133" s="2" t="str">
        <f>HYPERLINK("https://yandex.ru/maps/?pt=73.3733251073151,54.995702523622256&amp;z=17","открыть")</f>
        <v>открыть</v>
      </c>
      <c r="G133" s="2" t="str">
        <f>HYPERLINK("https://mediafasadomsk.com/surfaces/bb-bulatova-ul-chetnaya-storona-do-h-s-ul-gercena-svetofor-a-900.jpg","смотреть")</f>
        <v>смотреть</v>
      </c>
      <c r="H133">
        <v>54.995702523622256</v>
      </c>
      <c r="I133">
        <v>73.3733251073151</v>
      </c>
    </row>
    <row r="134">
      <c r="A134">
        <v>133</v>
      </c>
      <c r="B134" t="inlineStr">
        <is>
          <t xml:space="preserve">Бульварная, 15 (у пересечения с улицей Куйбышева)</t>
        </is>
      </c>
      <c r="C134" t="inlineStr">
        <is>
          <t xml:space="preserve">Билборд</t>
        </is>
      </c>
      <c r="D134" t="inlineStr">
        <is>
          <t xml:space="preserve">6×3</t>
        </is>
      </c>
      <c r="E134" t="inlineStr">
        <is>
          <t xml:space="preserve">A</t>
        </is>
      </c>
      <c r="F134" s="2" t="str">
        <f>HYPERLINK("https://yandex.ru/maps/?pt=73.40039772686467,54.965668109941866&amp;z=17","открыть")</f>
        <v>открыть</v>
      </c>
      <c r="G134" s="2" t="str">
        <f>HYPERLINK("https://mediafasadomsk.com/surfaces/bb-bulvarnaya-ul-15-h-s-ul-kujbysheva-a-900.jpg","смотреть")</f>
        <v>смотреть</v>
      </c>
      <c r="H134">
        <v>54.965668109941866</v>
      </c>
      <c r="I134">
        <v>73.40039772686467</v>
      </c>
    </row>
    <row r="135">
      <c r="A135">
        <v>134</v>
      </c>
      <c r="B135" t="inlineStr">
        <is>
          <t xml:space="preserve">Бульварная, 2А</t>
        </is>
      </c>
      <c r="C135" t="inlineStr">
        <is>
          <t xml:space="preserve">Билборд</t>
        </is>
      </c>
      <c r="D135" t="inlineStr">
        <is>
          <t xml:space="preserve">6×3</t>
        </is>
      </c>
      <c r="E135" t="inlineStr">
        <is>
          <t xml:space="preserve">A, B</t>
        </is>
      </c>
      <c r="F135" s="2" t="str">
        <f>HYPERLINK("https://yandex.ru/maps/?pt=73.39233679265932,54.96383077445806&amp;z=17","открыть")</f>
        <v>открыть</v>
      </c>
      <c r="G135" s="2" t="str">
        <f>HYPERLINK("https://mediafasadomsk.com/surfaces/bb-bulvarnaya-ul-2a-a-900.jpg","смотреть")</f>
        <v>смотреть</v>
      </c>
      <c r="H135">
        <v>54.96383077445806</v>
      </c>
      <c r="I135">
        <v>73.39233679265932</v>
      </c>
    </row>
    <row r="136">
      <c r="A136">
        <v>135</v>
      </c>
      <c r="B136" t="inlineStr">
        <is>
          <t xml:space="preserve">Бульварная, 7 стр (напротив)</t>
        </is>
      </c>
      <c r="C136" t="inlineStr">
        <is>
          <t xml:space="preserve">Цифровой билборд</t>
        </is>
      </c>
      <c r="D136" t="inlineStr">
        <is>
          <t xml:space="preserve">6×3</t>
        </is>
      </c>
      <c r="E136" t="inlineStr">
        <is>
          <t xml:space="preserve">A, B</t>
        </is>
      </c>
      <c r="F136" s="2" t="str">
        <f>HYPERLINK("https://yandex.ru/maps/?pt=73.395575,54.964063&amp;z=17","открыть")</f>
        <v>открыть</v>
      </c>
      <c r="G136" s="2" t="str">
        <f>HYPERLINK("https://mediafasadomsk.com/surfaces/bb-bulvarnaya-ul-7-str-naprotiv-a-900.jpg","смотреть")</f>
        <v>смотреть</v>
      </c>
      <c r="H136">
        <v>54.964063</v>
      </c>
      <c r="I136">
        <v>73.395575</v>
      </c>
    </row>
    <row r="137">
      <c r="A137">
        <v>136</v>
      </c>
      <c r="B137" t="inlineStr">
        <is>
          <t xml:space="preserve">Бульварная, чётная сторона, пересечение с улицей Пушкина (светофор)</t>
        </is>
      </c>
      <c r="C137" t="inlineStr">
        <is>
          <t xml:space="preserve">Билборд</t>
        </is>
      </c>
      <c r="D137" t="inlineStr">
        <is>
          <t xml:space="preserve">6×3</t>
        </is>
      </c>
      <c r="E137" t="inlineStr">
        <is>
          <t xml:space="preserve">A, B</t>
        </is>
      </c>
      <c r="F137" s="2" t="str">
        <f>HYPERLINK("https://yandex.ru/maps/?pt=73.38870227479873,54.963505957370714&amp;z=17","открыть")</f>
        <v>открыть</v>
      </c>
      <c r="G137" s="2" t="str">
        <f>HYPERLINK("https://mediafasadomsk.com/surfaces/bb-bulvarnaya-ul-chetnaya-storona-h-s-ul-pushkina-svetofor-a-900.jpg","смотреть")</f>
        <v>смотреть</v>
      </c>
      <c r="H137">
        <v>54.963505957370714</v>
      </c>
      <c r="I137">
        <v>73.38870227479873</v>
      </c>
    </row>
    <row r="138">
      <c r="A138">
        <v>137</v>
      </c>
      <c r="B138" t="inlineStr">
        <is>
          <t xml:space="preserve">Пересечение Бульварной и Декабристов (дом 157/1)</t>
        </is>
      </c>
      <c r="C138" t="inlineStr">
        <is>
          <t xml:space="preserve">Билборд</t>
        </is>
      </c>
      <c r="D138" t="inlineStr">
        <is>
          <t xml:space="preserve">6×3</t>
        </is>
      </c>
      <c r="E138" t="inlineStr">
        <is>
          <t xml:space="preserve">A, B</t>
        </is>
      </c>
      <c r="F138" s="2" t="str">
        <f>HYPERLINK("https://yandex.ru/maps/?pt=73.397309,54.964625&amp;z=17","открыть")</f>
        <v>открыть</v>
      </c>
      <c r="G138" s="2" t="str">
        <f>HYPERLINK("https://mediafasadomsk.com/surfaces/bb-bulvarnaya-ul-dekabristov-ul-157-1-a-900.jpg","смотреть")</f>
        <v>смотреть</v>
      </c>
      <c r="H138">
        <v>54.964625</v>
      </c>
      <c r="I138">
        <v>73.397309</v>
      </c>
    </row>
    <row r="139">
      <c r="A139">
        <v>138</v>
      </c>
      <c r="B139" t="inlineStr">
        <is>
          <t xml:space="preserve">Пересечение Бульварной и Пушкина (светофор)</t>
        </is>
      </c>
      <c r="C139" t="inlineStr">
        <is>
          <t xml:space="preserve">Цифровой билборд</t>
        </is>
      </c>
      <c r="D139" t="inlineStr">
        <is>
          <t xml:space="preserve">6×3</t>
        </is>
      </c>
      <c r="E139" t="inlineStr">
        <is>
          <t xml:space="preserve">A1</t>
        </is>
      </c>
      <c r="F139" s="2" t="str">
        <f>HYPERLINK("https://yandex.ru/maps/?pt=73.38848233386118,54.96354904918288&amp;z=17","открыть")</f>
        <v>открыть</v>
      </c>
      <c r="G139" s="2" t="str">
        <f>HYPERLINK("https://mediafasadomsk.com/surfaces/bb-bulvarnaya-ul-h-s-ul-pushkina-svetofor-a-900.jpg","смотреть")</f>
        <v>смотреть</v>
      </c>
      <c r="H139">
        <v>54.96354904918288</v>
      </c>
      <c r="I139">
        <v>73.38848233386118</v>
      </c>
    </row>
    <row r="140">
      <c r="A140">
        <v>139</v>
      </c>
      <c r="B140" t="inlineStr">
        <is>
          <t xml:space="preserve">4-я Челюскинцев, 115</t>
        </is>
      </c>
      <c r="C140" t="inlineStr">
        <is>
          <t xml:space="preserve">Билборд</t>
        </is>
      </c>
      <c r="D140" t="inlineStr">
        <is>
          <t xml:space="preserve">6×3</t>
        </is>
      </c>
      <c r="E140" t="inlineStr">
        <is>
          <t xml:space="preserve">A, B</t>
        </is>
      </c>
      <c r="F140" s="2" t="str">
        <f>HYPERLINK("https://yandex.ru/maps/?pt=73.41559369487167,55.02520930055169&amp;z=17","открыть")</f>
        <v>открыть</v>
      </c>
      <c r="G140" s="2" t="str">
        <f>HYPERLINK("https://mediafasadomsk.com/surfaces/bb-chelyuskincev-4-ya-ul-115-a-900.jpg","смотреть")</f>
        <v>смотреть</v>
      </c>
      <c r="H140">
        <v>55.02520930055169</v>
      </c>
      <c r="I140">
        <v>73.41559369487167</v>
      </c>
    </row>
    <row r="141">
      <c r="A141">
        <v>140</v>
      </c>
      <c r="B141" t="inlineStr">
        <is>
          <t xml:space="preserve">4-я Челюскинцев, 119</t>
        </is>
      </c>
      <c r="C141" t="inlineStr">
        <is>
          <t xml:space="preserve">Билборд</t>
        </is>
      </c>
      <c r="D141" t="inlineStr">
        <is>
          <t xml:space="preserve">6×3</t>
        </is>
      </c>
      <c r="E141" t="inlineStr">
        <is>
          <t xml:space="preserve">A, B</t>
        </is>
      </c>
      <c r="F141" s="2" t="str">
        <f>HYPERLINK("https://yandex.ru/maps/?pt=73.41435134410862,55.02619566734199&amp;z=17","открыть")</f>
        <v>открыть</v>
      </c>
      <c r="G141" s="2" t="str">
        <f>HYPERLINK("https://mediafasadomsk.com/surfaces/bb-chelyuskincev-4-ya-ul-119-a-900.jpg","смотреть")</f>
        <v>смотреть</v>
      </c>
      <c r="H141">
        <v>55.02619566734199</v>
      </c>
      <c r="I141">
        <v>73.41435134410862</v>
      </c>
    </row>
    <row r="142">
      <c r="A142">
        <v>141</v>
      </c>
      <c r="B142" t="inlineStr">
        <is>
          <t xml:space="preserve">4-я Челюскинцев, 20 (светофор)</t>
        </is>
      </c>
      <c r="C142" t="inlineStr">
        <is>
          <t xml:space="preserve">Билборд</t>
        </is>
      </c>
      <c r="D142" t="inlineStr">
        <is>
          <t xml:space="preserve">6×3</t>
        </is>
      </c>
      <c r="E142" t="inlineStr">
        <is>
          <t xml:space="preserve">A, B</t>
        </is>
      </c>
      <c r="F142" s="2" t="str">
        <f>HYPERLINK("https://yandex.ru/maps/?pt=73.42045172023755,55.01917844526036&amp;z=17","открыть")</f>
        <v>открыть</v>
      </c>
      <c r="G142" s="2" t="str">
        <f>HYPERLINK("https://mediafasadomsk.com/surfaces/bb-chelyuskincev-4-ya-ul-20-svetofor-a-900.jpg","смотреть")</f>
        <v>смотреть</v>
      </c>
      <c r="H142">
        <v>55.01917844526036</v>
      </c>
      <c r="I142">
        <v>73.42045172023755</v>
      </c>
    </row>
    <row r="143">
      <c r="A143">
        <v>142</v>
      </c>
      <c r="B143" t="inlineStr">
        <is>
          <t xml:space="preserve">4-я Челюскинцев, 6В</t>
        </is>
      </c>
      <c r="C143" t="inlineStr">
        <is>
          <t xml:space="preserve">Билборд</t>
        </is>
      </c>
      <c r="D143" t="inlineStr">
        <is>
          <t xml:space="preserve">6×3</t>
        </is>
      </c>
      <c r="E143" t="inlineStr">
        <is>
          <t xml:space="preserve">A, B</t>
        </is>
      </c>
      <c r="F143" s="2" t="str">
        <f>HYPERLINK("https://yandex.ru/maps/?pt=73.4192806736103,55.01201073374174&amp;z=17","открыть")</f>
        <v>открыть</v>
      </c>
      <c r="G143" s="2" t="str">
        <f>HYPERLINK("https://mediafasadomsk.com/surfaces/bb-chelyuskincev-4-ya-ul-6v-a-900.jpg","смотреть")</f>
        <v>смотреть</v>
      </c>
      <c r="H143">
        <v>55.01201073374174</v>
      </c>
      <c r="I143">
        <v>73.4192806736103</v>
      </c>
    </row>
    <row r="144">
      <c r="A144">
        <v>143</v>
      </c>
      <c r="B144" t="inlineStr">
        <is>
          <t xml:space="preserve">Пересечение 4-й Челюскинцев и Багратиона (дом 17/2)</t>
        </is>
      </c>
      <c r="C144" t="inlineStr">
        <is>
          <t xml:space="preserve">Билборд</t>
        </is>
      </c>
      <c r="D144" t="inlineStr">
        <is>
          <t xml:space="preserve">6×3</t>
        </is>
      </c>
      <c r="E144" t="inlineStr">
        <is>
          <t xml:space="preserve">B</t>
        </is>
      </c>
      <c r="F144" s="2" t="str">
        <f>HYPERLINK("https://yandex.ru/maps/?pt=73.417561,55.024029&amp;z=17","открыть")</f>
        <v>открыть</v>
      </c>
      <c r="G144" s="2" t="str">
        <f>HYPERLINK("https://mediafasadomsk.com/surfaces/bb-chelyuskincev-4-ya-ul-bagrationa-ul-17-k2-a-900.jpg","смотреть")</f>
        <v>смотреть</v>
      </c>
      <c r="H144">
        <v>55.024029</v>
      </c>
      <c r="I144">
        <v>73.417561</v>
      </c>
    </row>
    <row r="145">
      <c r="A145">
        <v>144</v>
      </c>
      <c r="B145" t="inlineStr">
        <is>
          <t xml:space="preserve">Челюскинцев, 101, центральная разделительная полоса, съезд на улицу Багратиона</t>
        </is>
      </c>
      <c r="C145" t="inlineStr">
        <is>
          <t xml:space="preserve">Билборд</t>
        </is>
      </c>
      <c r="D145" t="inlineStr">
        <is>
          <t xml:space="preserve">6×3</t>
        </is>
      </c>
      <c r="E145" t="inlineStr">
        <is>
          <t xml:space="preserve">A1</t>
        </is>
      </c>
      <c r="F145" s="2" t="str">
        <f>HYPERLINK("https://yandex.ru/maps/?pt=73.40657317791248,55.02059836720522&amp;z=17","открыть")</f>
        <v>открыть</v>
      </c>
      <c r="G145" s="2" t="str">
        <f>HYPERLINK("https://mediafasadomsk.com/surfaces/bb-chelyuskincev-ul-101-crp-sezd-na-ul-bagrationa-a-900.jpg","смотреть")</f>
        <v>смотреть</v>
      </c>
      <c r="H145">
        <v>55.02059836720522</v>
      </c>
      <c r="I145">
        <v>73.40657317791248</v>
      </c>
    </row>
    <row r="146">
      <c r="A146">
        <v>145</v>
      </c>
      <c r="B146" t="inlineStr">
        <is>
          <t xml:space="preserve">Челюскинцев, 101 (у пересечения с улицей Багратиона, светофор)</t>
        </is>
      </c>
      <c r="C146" t="inlineStr">
        <is>
          <t xml:space="preserve">Билборд</t>
        </is>
      </c>
      <c r="D146" t="inlineStr">
        <is>
          <t xml:space="preserve">6×3</t>
        </is>
      </c>
      <c r="E146" t="inlineStr">
        <is>
          <t xml:space="preserve">A, B</t>
        </is>
      </c>
      <c r="F146" s="2" t="str">
        <f>HYPERLINK("https://yandex.ru/maps/?pt=73.40633982581485,55.020281585739724&amp;z=17","открыть")</f>
        <v>открыть</v>
      </c>
      <c r="G146" s="2" t="str">
        <f>HYPERLINK("https://mediafasadomsk.com/surfaces/bb-chelyuskincev-ul-101-h-s-ul-bagrationa-svetofor-a-900.jpg","смотреть")</f>
        <v>смотреть</v>
      </c>
      <c r="H146">
        <v>55.020281585739724</v>
      </c>
      <c r="I146">
        <v>73.40633982581485</v>
      </c>
    </row>
    <row r="147">
      <c r="A147">
        <v>146</v>
      </c>
      <c r="B147" t="inlineStr">
        <is>
          <t xml:space="preserve">Челюскинцев, 85 (светофор)</t>
        </is>
      </c>
      <c r="C147" t="inlineStr">
        <is>
          <t xml:space="preserve">Билборд</t>
        </is>
      </c>
      <c r="D147" t="inlineStr">
        <is>
          <t xml:space="preserve">6×3</t>
        </is>
      </c>
      <c r="E147" t="inlineStr">
        <is>
          <t xml:space="preserve">A, B</t>
        </is>
      </c>
      <c r="F147" s="2" t="str">
        <f>HYPERLINK("https://yandex.ru/maps/?pt=73.4052865889543,55.01295383907698&amp;z=17","открыть")</f>
        <v>открыть</v>
      </c>
      <c r="G147" s="2" t="str">
        <f>HYPERLINK("https://mediafasadomsk.com/surfaces/bb-chelyuskincev-ul-85-svetofor-a-900.jpg","смотреть")</f>
        <v>смотреть</v>
      </c>
      <c r="H147">
        <v>55.01295383907698</v>
      </c>
      <c r="I147">
        <v>73.4052865889543</v>
      </c>
    </row>
    <row r="148">
      <c r="A148">
        <v>147</v>
      </c>
      <c r="B148" t="inlineStr">
        <is>
          <t xml:space="preserve">Челюскинцев, 89</t>
        </is>
      </c>
      <c r="C148" t="inlineStr">
        <is>
          <t xml:space="preserve">Билборд</t>
        </is>
      </c>
      <c r="D148" t="inlineStr">
        <is>
          <t xml:space="preserve">6×3</t>
        </is>
      </c>
      <c r="E148" t="inlineStr">
        <is>
          <t xml:space="preserve">A, B</t>
        </is>
      </c>
      <c r="F148" s="2" t="str">
        <f>HYPERLINK("https://yandex.ru/maps/?pt=73.405536,55.015087&amp;z=17","открыть")</f>
        <v>открыть</v>
      </c>
      <c r="G148" s="2" t="str">
        <f>HYPERLINK("https://mediafasadomsk.com/surfaces/bb-chelyuskincev-ul-89-a-900.jpg","смотреть")</f>
        <v>смотреть</v>
      </c>
      <c r="H148">
        <v>55.015087</v>
      </c>
      <c r="I148">
        <v>73.405536</v>
      </c>
    </row>
    <row r="149">
      <c r="A149">
        <v>148</v>
      </c>
      <c r="B149" t="inlineStr">
        <is>
          <t xml:space="preserve">Челюскинцев, 93</t>
        </is>
      </c>
      <c r="C149" t="inlineStr">
        <is>
          <t xml:space="preserve">Билборд</t>
        </is>
      </c>
      <c r="D149" t="inlineStr">
        <is>
          <t xml:space="preserve">6×3</t>
        </is>
      </c>
      <c r="E149" t="inlineStr">
        <is>
          <t xml:space="preserve">A, B</t>
        </is>
      </c>
      <c r="F149" s="2" t="str">
        <f>HYPERLINK("https://yandex.ru/maps/?pt=73.405552,55.016439&amp;z=17","открыть")</f>
        <v>открыть</v>
      </c>
      <c r="G149" s="2" t="str">
        <f>HYPERLINK("https://mediafasadomsk.com/surfaces/bb-chelyuskincev-ul-93-a-900.jpg","смотреть")</f>
        <v>смотреть</v>
      </c>
      <c r="H149">
        <v>55.016439</v>
      </c>
      <c r="I149">
        <v>73.405552</v>
      </c>
    </row>
    <row r="150">
      <c r="A150">
        <v>149</v>
      </c>
      <c r="B150" t="inlineStr">
        <is>
          <t xml:space="preserve">Челюскинцев, 95</t>
        </is>
      </c>
      <c r="C150" t="inlineStr">
        <is>
          <t xml:space="preserve">Билборд</t>
        </is>
      </c>
      <c r="D150" t="inlineStr">
        <is>
          <t xml:space="preserve">6×3</t>
        </is>
      </c>
      <c r="E150" t="inlineStr">
        <is>
          <t xml:space="preserve">A, B</t>
        </is>
      </c>
      <c r="F150" s="2" t="str">
        <f>HYPERLINK("https://yandex.ru/maps/?pt=73.40590100000011,55.01791599999997&amp;z=17","открыть")</f>
        <v>открыть</v>
      </c>
      <c r="G150" s="2" t="str">
        <f>HYPERLINK("https://mediafasadomsk.com/surfaces/bb-chelyuskincev-ul-95-a-900.jpg","смотреть")</f>
        <v>смотреть</v>
      </c>
      <c r="H150">
        <v>55.01791599999997</v>
      </c>
      <c r="I150">
        <v>73.40590100000011</v>
      </c>
    </row>
    <row r="151">
      <c r="A151">
        <v>150</v>
      </c>
      <c r="B151" t="inlineStr">
        <is>
          <t xml:space="preserve">Челюскинцев, 99 (светофор)</t>
        </is>
      </c>
      <c r="C151" t="inlineStr">
        <is>
          <t xml:space="preserve">Цифровой билборд</t>
        </is>
      </c>
      <c r="D151" t="inlineStr">
        <is>
          <t xml:space="preserve">6×3</t>
        </is>
      </c>
      <c r="E151" t="inlineStr">
        <is>
          <t xml:space="preserve">B1</t>
        </is>
      </c>
      <c r="F151" s="2" t="str">
        <f>HYPERLINK("https://yandex.ru/maps/?pt=73.40621796489792,55.01938196285086&amp;z=17","открыть")</f>
        <v>открыть</v>
      </c>
      <c r="G151" s="2" t="str">
        <f>HYPERLINK("https://mediafasadomsk.com/surfaces/bb-chelyuskincev-ul-99-svetofor-a-900.jpg","смотреть")</f>
        <v>смотреть</v>
      </c>
      <c r="H151">
        <v>55.01938196285086</v>
      </c>
      <c r="I151">
        <v>73.40621796489792</v>
      </c>
    </row>
    <row r="152">
      <c r="A152">
        <v>151</v>
      </c>
      <c r="B152" t="inlineStr">
        <is>
          <t xml:space="preserve">Челюскинцев, 99 (светофор)</t>
        </is>
      </c>
      <c r="C152" t="inlineStr">
        <is>
          <t xml:space="preserve">Билборд</t>
        </is>
      </c>
      <c r="D152" t="inlineStr">
        <is>
          <t xml:space="preserve">6×3</t>
        </is>
      </c>
      <c r="E152" t="inlineStr">
        <is>
          <t xml:space="preserve">A</t>
        </is>
      </c>
      <c r="F152" s="2" t="str">
        <f>HYPERLINK("https://yandex.ru/maps/?pt=73.40621796489792,55.01938196285086&amp;z=17","открыть")</f>
        <v>открыть</v>
      </c>
      <c r="G152" s="2" t="str">
        <f>HYPERLINK("https://mediafasadomsk.com/surfaces/bb-chelyuskincev-ul-99-svetofor-a-a-900.jpg","смотреть")</f>
        <v>смотреть</v>
      </c>
      <c r="H152">
        <v>55.01938196285086</v>
      </c>
      <c r="I152">
        <v>73.40621796489792</v>
      </c>
    </row>
    <row r="153">
      <c r="A153">
        <v>152</v>
      </c>
      <c r="B153" t="inlineStr">
        <is>
          <t xml:space="preserve">Челюскинцев, чётная сторона, съезд с улицы Багратиона (светофор), позиция 1</t>
        </is>
      </c>
      <c r="C153" t="inlineStr">
        <is>
          <t xml:space="preserve">Билборд</t>
        </is>
      </c>
      <c r="D153" t="inlineStr">
        <is>
          <t xml:space="preserve">6×3</t>
        </is>
      </c>
      <c r="E153" t="inlineStr">
        <is>
          <t xml:space="preserve">A</t>
        </is>
      </c>
      <c r="F153" s="2" t="str">
        <f>HYPERLINK("https://yandex.ru/maps/?pt=73.4071294477469,55.0214782844031&amp;z=17","открыть")</f>
        <v>открыть</v>
      </c>
      <c r="G153" s="2" t="str">
        <f>HYPERLINK("https://mediafasadomsk.com/surfaces/bb-chelyuskincev-ul-chetnaya-storona-sezd-s-ul-bagrationa-svetofor-poz-1-a-900.jpg","смотреть")</f>
        <v>смотреть</v>
      </c>
      <c r="H153">
        <v>55.0214782844031</v>
      </c>
      <c r="I153">
        <v>73.4071294477469</v>
      </c>
    </row>
    <row r="154">
      <c r="A154">
        <v>153</v>
      </c>
      <c r="B154" t="inlineStr">
        <is>
          <t xml:space="preserve">Челюскинцев, чётная сторона, съезд с улицы Багратиона (светофор), позиция 2</t>
        </is>
      </c>
      <c r="C154" t="inlineStr">
        <is>
          <t xml:space="preserve">Билборд</t>
        </is>
      </c>
      <c r="D154" t="inlineStr">
        <is>
          <t xml:space="preserve">6×3</t>
        </is>
      </c>
      <c r="E154" t="inlineStr">
        <is>
          <t xml:space="preserve">A</t>
        </is>
      </c>
      <c r="F154" s="2" t="str">
        <f>HYPERLINK("https://yandex.ru/maps/?pt=73.40721527843462,55.02134918067654&amp;z=17","открыть")</f>
        <v>открыть</v>
      </c>
      <c r="G154" s="2" t="str">
        <f>HYPERLINK("https://mediafasadomsk.com/surfaces/bb-chelyuskincev-ul-chetnaya-storona-sezd-s-ul-bagrationa-svetofor-poz-2-a-900.jpg","смотреть")</f>
        <v>смотреть</v>
      </c>
      <c r="H154">
        <v>55.02134918067654</v>
      </c>
      <c r="I154">
        <v>73.40721527843462</v>
      </c>
    </row>
    <row r="155">
      <c r="A155">
        <v>154</v>
      </c>
      <c r="B155" t="inlineStr">
        <is>
          <t xml:space="preserve">Челюскинцев, центральная разделительная полоса, съезд с улицы Багратиона (светофор)</t>
        </is>
      </c>
      <c r="C155" t="inlineStr">
        <is>
          <t xml:space="preserve">Билборд</t>
        </is>
      </c>
      <c r="D155" t="inlineStr">
        <is>
          <t xml:space="preserve">6×3</t>
        </is>
      </c>
      <c r="E155" t="inlineStr">
        <is>
          <t xml:space="preserve">A1</t>
        </is>
      </c>
      <c r="F155" s="2" t="str">
        <f>HYPERLINK("https://yandex.ru/maps/?pt=73.4066834887176,55.02151125920653&amp;z=17","открыть")</f>
        <v>открыть</v>
      </c>
      <c r="G155" s="2" t="str">
        <f>HYPERLINK("https://mediafasadomsk.com/surfaces/bb-chelyuskincev-ul-crp-sezd-s-ul-bagrationa-svetofor-a-900.jpg","смотреть")</f>
        <v>смотреть</v>
      </c>
      <c r="H155">
        <v>55.02151125920653</v>
      </c>
      <c r="I155">
        <v>73.4066834887176</v>
      </c>
    </row>
    <row r="156">
      <c r="A156">
        <v>155</v>
      </c>
      <c r="B156" t="inlineStr">
        <is>
          <t xml:space="preserve">Черлакский тракт</t>
        </is>
      </c>
      <c r="C156" t="inlineStr">
        <is>
          <t xml:space="preserve">Билборд</t>
        </is>
      </c>
      <c r="D156" t="inlineStr">
        <is>
          <t xml:space="preserve">6×3</t>
        </is>
      </c>
      <c r="E156" t="inlineStr">
        <is>
          <t xml:space="preserve">A, B</t>
        </is>
      </c>
      <c r="F156" s="2" t="str">
        <f>HYPERLINK("https://yandex.ru/maps/?pt=73.419377,54.891084&amp;z=17","открыть")</f>
        <v>открыть</v>
      </c>
      <c r="G156" s="2" t="str">
        <f>HYPERLINK("https://mediafasadomsk.com/surfaces/bb-cherlakskij-trakt-a-900.jpg","смотреть")</f>
        <v>смотреть</v>
      </c>
      <c r="H156">
        <v>54.891084</v>
      </c>
      <c r="I156">
        <v>73.419377</v>
      </c>
    </row>
    <row r="157">
      <c r="A157">
        <v>156</v>
      </c>
      <c r="B157" t="inlineStr">
        <is>
          <t xml:space="preserve">Черлакский тракт, напротив дома 3, съезд на Р-254 Иртыш (светофор)</t>
        </is>
      </c>
      <c r="C157" t="inlineStr">
        <is>
          <t xml:space="preserve">Билборд</t>
        </is>
      </c>
      <c r="D157" t="inlineStr">
        <is>
          <t xml:space="preserve">6×3</t>
        </is>
      </c>
      <c r="E157" t="inlineStr">
        <is>
          <t xml:space="preserve">A, B</t>
        </is>
      </c>
      <c r="F157" s="2" t="str">
        <f>HYPERLINK("https://yandex.ru/maps/?pt=73.41815052876414,54.891761633363416&amp;z=17","открыть")</f>
        <v>открыть</v>
      </c>
      <c r="G157" s="2" t="str">
        <f>HYPERLINK("https://mediafasadomsk.com/surfaces/bb-cherlakskij-trakt-3-naprotiv-sezd-na-r-254-irtysh-svetofor-a-900.jpg","смотреть")</f>
        <v>смотреть</v>
      </c>
      <c r="H157">
        <v>54.891761633363416</v>
      </c>
      <c r="I157">
        <v>73.41815052876414</v>
      </c>
    </row>
    <row r="158">
      <c r="A158">
        <v>157</v>
      </c>
      <c r="B158" t="inlineStr">
        <is>
          <t xml:space="preserve">Чернышевского, 3 (светофор)</t>
        </is>
      </c>
      <c r="C158" t="inlineStr">
        <is>
          <t xml:space="preserve">Билборд</t>
        </is>
      </c>
      <c r="D158" t="inlineStr">
        <is>
          <t xml:space="preserve">6×3</t>
        </is>
      </c>
      <c r="E158" t="inlineStr">
        <is>
          <t xml:space="preserve">A, B</t>
        </is>
      </c>
      <c r="F158" s="2" t="str">
        <f>HYPERLINK("https://yandex.ru/maps/?pt=73.37792426364551,54.997982789630036&amp;z=17","открыть")</f>
        <v>открыть</v>
      </c>
      <c r="G158" s="2" t="str">
        <f>HYPERLINK("https://mediafasadomsk.com/surfaces/bb-chernyshevskogo-ul-3-svetofor-a-900.jpg","смотреть")</f>
        <v>смотреть</v>
      </c>
      <c r="H158">
        <v>54.997982789630036</v>
      </c>
      <c r="I158">
        <v>73.37792426364551</v>
      </c>
    </row>
    <row r="159">
      <c r="A159">
        <v>158</v>
      </c>
      <c r="B159" t="inlineStr">
        <is>
          <t xml:space="preserve">Чернышевского, чётная сторона, до пересечения с улицей Октябрьской (светофор)</t>
        </is>
      </c>
      <c r="C159" t="inlineStr">
        <is>
          <t xml:space="preserve">Билборд</t>
        </is>
      </c>
      <c r="D159" t="inlineStr">
        <is>
          <t xml:space="preserve">6×3</t>
        </is>
      </c>
      <c r="E159" t="inlineStr">
        <is>
          <t xml:space="preserve">A, B</t>
        </is>
      </c>
      <c r="F159" s="2" t="str">
        <f>HYPERLINK("https://yandex.ru/maps/?pt=73.37909907119352,54.99893666777979&amp;z=17","открыть")</f>
        <v>открыть</v>
      </c>
      <c r="G159" s="2" t="str">
        <f>HYPERLINK("https://mediafasadomsk.com/surfaces/bb-chernyshevskogo-ul-chetnaya-storona-do-h-s-ul-oktyabrskoj-svetofor-a-900.jpg","смотреть")</f>
        <v>смотреть</v>
      </c>
      <c r="H159">
        <v>54.99893666777979</v>
      </c>
      <c r="I159">
        <v>73.37909907119352</v>
      </c>
    </row>
    <row r="160">
      <c r="A160">
        <v>159</v>
      </c>
      <c r="B160" t="inlineStr">
        <is>
          <t xml:space="preserve">Чернышевского, нечётная сторона, после пересечения с улицей Октябрьской (светофор)</t>
        </is>
      </c>
      <c r="C160" t="inlineStr">
        <is>
          <t xml:space="preserve">Билборд</t>
        </is>
      </c>
      <c r="D160" t="inlineStr">
        <is>
          <t xml:space="preserve">6×3</t>
        </is>
      </c>
      <c r="E160" t="inlineStr">
        <is>
          <t xml:space="preserve">A, B</t>
        </is>
      </c>
      <c r="F160" s="2" t="str">
        <f>HYPERLINK("https://yandex.ru/maps/?pt=73.37894886748916,54.998976672697495&amp;z=17","открыть")</f>
        <v>открыть</v>
      </c>
      <c r="G160" s="2" t="str">
        <f>HYPERLINK("https://mediafasadomsk.com/surfaces/bb-chernyshevskogo-ul-nechetnaya-storona-posle-h-s-ul-oktyabrskoj-svetofor-a-900.jpg","смотреть")</f>
        <v>смотреть</v>
      </c>
      <c r="H160">
        <v>54.998976672697495</v>
      </c>
      <c r="I160">
        <v>73.37894886748916</v>
      </c>
    </row>
    <row r="161">
      <c r="A161">
        <v>160</v>
      </c>
      <c r="B161" t="inlineStr">
        <is>
          <t xml:space="preserve">Циолковского, 6 (у пересечения с проспектом Карла Маркса, светофор, ТЦ «Каскад»)</t>
        </is>
      </c>
      <c r="C161" t="inlineStr">
        <is>
          <t xml:space="preserve">Билборд</t>
        </is>
      </c>
      <c r="D161" t="inlineStr">
        <is>
          <t xml:space="preserve">6×3</t>
        </is>
      </c>
      <c r="E161" t="inlineStr">
        <is>
          <t xml:space="preserve">A, B</t>
        </is>
      </c>
      <c r="F161" s="2" t="str">
        <f>HYPERLINK("https://yandex.ru/maps/?pt=73.38529999999973,54.96209999999998&amp;z=17","открыть")</f>
        <v>открыть</v>
      </c>
      <c r="G161" s="2" t="str">
        <f>HYPERLINK("https://mediafasadomsk.com/surfaces/bb-ciolkovskogo-ul-6-h-s-prospektom-karla-marksa-svetofor-tc-kaskad-a-900.jpg","смотреть")</f>
        <v>смотреть</v>
      </c>
      <c r="H161">
        <v>54.96209999999998</v>
      </c>
      <c r="I161">
        <v>73.38529999999973</v>
      </c>
    </row>
    <row r="162">
      <c r="A162">
        <v>161</v>
      </c>
      <c r="B162" t="inlineStr">
        <is>
          <t xml:space="preserve">Циолковского (у дома 41 по просп. Карла Маркса)</t>
        </is>
      </c>
      <c r="C162" t="inlineStr">
        <is>
          <t xml:space="preserve">Цифровой билборд</t>
        </is>
      </c>
      <c r="D162" t="inlineStr">
        <is>
          <t xml:space="preserve">6×3</t>
        </is>
      </c>
      <c r="E162" t="inlineStr">
        <is>
          <t xml:space="preserve">A, B</t>
        </is>
      </c>
      <c r="F162" s="2" t="str">
        <f>HYPERLINK("https://yandex.ru/maps/?pt=73.386361,54.962306&amp;z=17","открыть")</f>
        <v>открыть</v>
      </c>
      <c r="G162" s="2" t="str">
        <f>HYPERLINK("https://mediafasadomsk.com/surfaces/bb-ciolkovskogo-ul-u-d-41-po-prosp-k-marksa-a-900.jpg","смотреть")</f>
        <v>смотреть</v>
      </c>
      <c r="H162">
        <v>54.962306</v>
      </c>
      <c r="I162">
        <v>73.386361</v>
      </c>
    </row>
    <row r="163">
      <c r="A163">
        <v>162</v>
      </c>
      <c r="B163" t="inlineStr">
        <is>
          <t xml:space="preserve">Дианова, 1, до пересечения с улицей Лукашевича (светофор)</t>
        </is>
      </c>
      <c r="C163" t="inlineStr">
        <is>
          <t xml:space="preserve">Билборд</t>
        </is>
      </c>
      <c r="D163" t="inlineStr">
        <is>
          <t xml:space="preserve">6×3</t>
        </is>
      </c>
      <c r="E163" t="inlineStr">
        <is>
          <t xml:space="preserve">A, B</t>
        </is>
      </c>
      <c r="F163" s="2" t="str">
        <f>HYPERLINK("https://yandex.ru/maps/?pt=73.26812868948033,54.99212775502025&amp;z=17","открыть")</f>
        <v>открыть</v>
      </c>
      <c r="G163" s="2" t="str">
        <f>HYPERLINK("https://mediafasadomsk.com/surfaces/bb-dianova-ul-1-do-h-s-ul-lukashevicha-svetofor-a-900.jpg","смотреть")</f>
        <v>смотреть</v>
      </c>
      <c r="H163">
        <v>54.99212775502025</v>
      </c>
      <c r="I163">
        <v>73.26812868948033</v>
      </c>
    </row>
    <row r="164">
      <c r="A164">
        <v>163</v>
      </c>
      <c r="B164" t="inlineStr">
        <is>
          <t xml:space="preserve">Дианова, 14 (светофор, ТЦ «АТ-Маркет»)</t>
        </is>
      </c>
      <c r="C164" t="inlineStr">
        <is>
          <t xml:space="preserve">Цифровой билборд</t>
        </is>
      </c>
      <c r="D164" t="inlineStr">
        <is>
          <t xml:space="preserve">6×3</t>
        </is>
      </c>
      <c r="E164" t="inlineStr">
        <is>
          <t xml:space="preserve">B1</t>
        </is>
      </c>
      <c r="F164" s="2" t="str">
        <f>HYPERLINK("https://yandex.ru/maps/?pt=73.24982346524686,54.99460653800361&amp;z=17","открыть")</f>
        <v>открыть</v>
      </c>
      <c r="G164" s="2" t="str">
        <f>HYPERLINK("https://mediafasadomsk.com/surfaces/bb-dianova-ul-14-svetofor-tc-at-market-a-900.jpg","смотреть")</f>
        <v>смотреть</v>
      </c>
      <c r="H164">
        <v>54.99460653800361</v>
      </c>
      <c r="I164">
        <v>73.24982346524686</v>
      </c>
    </row>
    <row r="165">
      <c r="A165">
        <v>164</v>
      </c>
      <c r="B165" t="inlineStr">
        <is>
          <t xml:space="preserve">Дианова, 14 (светофор, ТЦ «АТ-Маркет»)</t>
        </is>
      </c>
      <c r="C165" t="inlineStr">
        <is>
          <t xml:space="preserve">Билборд</t>
        </is>
      </c>
      <c r="D165" t="inlineStr">
        <is>
          <t xml:space="preserve">6×3</t>
        </is>
      </c>
      <c r="E165" t="inlineStr">
        <is>
          <t xml:space="preserve">A</t>
        </is>
      </c>
      <c r="F165" s="2" t="str">
        <f>HYPERLINK("https://yandex.ru/maps/?pt=73.24982346524686,54.99460653800361&amp;z=17","открыть")</f>
        <v>открыть</v>
      </c>
      <c r="G165" s="2" t="str">
        <f>HYPERLINK("https://mediafasadomsk.com/surfaces/bb-dianova-ul-14-svetofor-tc-at-market-a-a-900.jpg","смотреть")</f>
        <v>смотреть</v>
      </c>
      <c r="H165">
        <v>54.99460653800361</v>
      </c>
      <c r="I165">
        <v>73.24982346524686</v>
      </c>
    </row>
    <row r="166">
      <c r="A166">
        <v>165</v>
      </c>
      <c r="B166" t="inlineStr">
        <is>
          <t xml:space="preserve">Дианова, 20/5</t>
        </is>
      </c>
      <c r="C166" t="inlineStr">
        <is>
          <t xml:space="preserve">Билборд</t>
        </is>
      </c>
      <c r="D166" t="inlineStr">
        <is>
          <t xml:space="preserve">6×3</t>
        </is>
      </c>
      <c r="E166" t="inlineStr">
        <is>
          <t xml:space="preserve">A, B</t>
        </is>
      </c>
      <c r="F166" s="2" t="str">
        <f>HYPERLINK("https://yandex.ru/maps/?pt=73.243002,54.995&amp;z=17","открыть")</f>
        <v>открыть</v>
      </c>
      <c r="G166" s="2" t="str">
        <f>HYPERLINK("https://mediafasadomsk.com/surfaces/bb-dianova-ul-20-k-5-a-900.jpg","смотреть")</f>
        <v>смотреть</v>
      </c>
      <c r="H166">
        <v>54.995</v>
      </c>
      <c r="I166">
        <v>73.243002</v>
      </c>
    </row>
    <row r="167">
      <c r="A167">
        <v>166</v>
      </c>
      <c r="B167" t="inlineStr">
        <is>
          <t xml:space="preserve">Дианова, 23 (светофор, ТЦ «АТ-Маркет»)</t>
        </is>
      </c>
      <c r="C167" t="inlineStr">
        <is>
          <t xml:space="preserve">Билборд</t>
        </is>
      </c>
      <c r="D167" t="inlineStr">
        <is>
          <t xml:space="preserve">6×3</t>
        </is>
      </c>
      <c r="E167" t="inlineStr">
        <is>
          <t xml:space="preserve">A, B</t>
        </is>
      </c>
      <c r="F167" s="2" t="str">
        <f>HYPERLINK("https://yandex.ru/maps/?pt=73.2475005950925,54.99463343027115&amp;z=17","открыть")</f>
        <v>открыть</v>
      </c>
      <c r="G167" s="2" t="str">
        <f>HYPERLINK("https://mediafasadomsk.com/surfaces/bb-dianova-ul-23-svetofor-tc-at-market-a-900.jpg","смотреть")</f>
        <v>смотреть</v>
      </c>
      <c r="H167">
        <v>54.99463343027115</v>
      </c>
      <c r="I167">
        <v>73.2475005950925</v>
      </c>
    </row>
    <row r="168">
      <c r="A168">
        <v>167</v>
      </c>
      <c r="B168" t="inlineStr">
        <is>
          <t xml:space="preserve">Дианова, напротив дома 26 (светофор)</t>
        </is>
      </c>
      <c r="C168" t="inlineStr">
        <is>
          <t xml:space="preserve">Билборд</t>
        </is>
      </c>
      <c r="D168" t="inlineStr">
        <is>
          <t xml:space="preserve">6×3</t>
        </is>
      </c>
      <c r="E168" t="inlineStr">
        <is>
          <t xml:space="preserve">A, B</t>
        </is>
      </c>
      <c r="F168" s="2" t="str">
        <f>HYPERLINK("https://yandex.ru/maps/?pt=73.23343031911739,54.99545843453259&amp;z=17","открыть")</f>
        <v>открыть</v>
      </c>
      <c r="G168" s="2" t="str">
        <f>HYPERLINK("https://mediafasadomsk.com/surfaces/bb-dianova-ul-26-naprotiv-svetofor-a-900.jpg","смотреть")</f>
        <v>смотреть</v>
      </c>
      <c r="H168">
        <v>54.99545843453259</v>
      </c>
      <c r="I168">
        <v>73.23343031911739</v>
      </c>
    </row>
    <row r="169">
      <c r="A169">
        <v>168</v>
      </c>
      <c r="B169" t="inlineStr">
        <is>
          <t xml:space="preserve">Дианова, 3/1А (светофор)</t>
        </is>
      </c>
      <c r="C169" t="inlineStr">
        <is>
          <t xml:space="preserve">Цифровой билборд</t>
        </is>
      </c>
      <c r="D169" t="inlineStr">
        <is>
          <t xml:space="preserve">6×3</t>
        </is>
      </c>
      <c r="E169" t="inlineStr">
        <is>
          <t xml:space="preserve">A1, B1</t>
        </is>
      </c>
      <c r="F169" s="2" t="str">
        <f>HYPERLINK("https://yandex.ru/maps/?pt=73.26597422361397,54.99288995708057&amp;z=17","открыть")</f>
        <v>открыть</v>
      </c>
      <c r="G169" s="2" t="str">
        <f>HYPERLINK("https://mediafasadomsk.com/surfaces/bb-dianova-ul-3-1a-svetofor-a-900.jpg","смотреть")</f>
        <v>смотреть</v>
      </c>
      <c r="H169">
        <v>54.99288995708057</v>
      </c>
      <c r="I169">
        <v>73.26597422361397</v>
      </c>
    </row>
    <row r="170">
      <c r="A170">
        <v>169</v>
      </c>
      <c r="B170" t="inlineStr">
        <is>
          <t xml:space="preserve">Дианова, 4</t>
        </is>
      </c>
      <c r="C170" t="inlineStr">
        <is>
          <t xml:space="preserve">Билборд</t>
        </is>
      </c>
      <c r="D170" t="inlineStr">
        <is>
          <t xml:space="preserve">6×3</t>
        </is>
      </c>
      <c r="E170" t="inlineStr">
        <is>
          <t xml:space="preserve">A, B</t>
        </is>
      </c>
      <c r="F170" s="2" t="str">
        <f>HYPERLINK("https://yandex.ru/maps/?pt=73.26432,54.99373&amp;z=17","открыть")</f>
        <v>открыть</v>
      </c>
      <c r="G170" s="2" t="str">
        <f>HYPERLINK("https://mediafasadomsk.com/surfaces/bb-dianova-ul-4-a-900.jpg","смотреть")</f>
        <v>смотреть</v>
      </c>
      <c r="H170">
        <v>54.99373</v>
      </c>
      <c r="I170">
        <v>73.26432</v>
      </c>
    </row>
    <row r="171">
      <c r="A171">
        <v>170</v>
      </c>
      <c r="B171" t="inlineStr">
        <is>
          <t xml:space="preserve">Дианова, 6 (светофор)</t>
        </is>
      </c>
      <c r="C171" t="inlineStr">
        <is>
          <t xml:space="preserve">Билборд</t>
        </is>
      </c>
      <c r="D171" t="inlineStr">
        <is>
          <t xml:space="preserve">6×3</t>
        </is>
      </c>
      <c r="E171" t="inlineStr">
        <is>
          <t xml:space="preserve">A, B</t>
        </is>
      </c>
      <c r="F171" s="2" t="str">
        <f>HYPERLINK("https://yandex.ru/maps/?pt=73.26070684999979,54.99398131000004&amp;z=17","открыть")</f>
        <v>открыть</v>
      </c>
      <c r="G171" s="2" t="str">
        <f>HYPERLINK("https://mediafasadomsk.com/surfaces/bb-dianova-ul-6-svetofor-a-900.jpg","смотреть")</f>
        <v>смотреть</v>
      </c>
      <c r="H171">
        <v>54.99398131000004</v>
      </c>
      <c r="I171">
        <v>73.26070684999979</v>
      </c>
    </row>
    <row r="172">
      <c r="A172">
        <v>171</v>
      </c>
      <c r="B172" t="inlineStr">
        <is>
          <t xml:space="preserve">Дианова, 7/1 (светофор)</t>
        </is>
      </c>
      <c r="C172" t="inlineStr">
        <is>
          <t xml:space="preserve">Билборд</t>
        </is>
      </c>
      <c r="D172" t="inlineStr">
        <is>
          <t xml:space="preserve">6×3</t>
        </is>
      </c>
      <c r="E172" t="inlineStr">
        <is>
          <t xml:space="preserve">A, B</t>
        </is>
      </c>
      <c r="F172" s="2" t="str">
        <f>HYPERLINK("https://yandex.ru/maps/?pt=73.26265799999979,54.99372700000002&amp;z=17","открыть")</f>
        <v>открыть</v>
      </c>
      <c r="G172" s="2" t="str">
        <f>HYPERLINK("https://mediafasadomsk.com/surfaces/bb-dianova-ul-7-1-svetofor-a-900.jpg","смотреть")</f>
        <v>смотреть</v>
      </c>
      <c r="H172">
        <v>54.99372700000002</v>
      </c>
      <c r="I172">
        <v>73.26265799999979</v>
      </c>
    </row>
    <row r="173">
      <c r="A173">
        <v>172</v>
      </c>
      <c r="B173" t="inlineStr">
        <is>
          <t xml:space="preserve">Дианова, напротив дома 8/1 (светофор)</t>
        </is>
      </c>
      <c r="C173" t="inlineStr">
        <is>
          <t xml:space="preserve">Билборд</t>
        </is>
      </c>
      <c r="D173" t="inlineStr">
        <is>
          <t xml:space="preserve">6×3</t>
        </is>
      </c>
      <c r="E173" t="inlineStr">
        <is>
          <t xml:space="preserve">A, B</t>
        </is>
      </c>
      <c r="F173" s="2" t="str">
        <f>HYPERLINK("https://yandex.ru/maps/?pt=73.25810000000011,54.99400000000002&amp;z=17","открыть")</f>
        <v>открыть</v>
      </c>
      <c r="G173" s="2" t="str">
        <f>HYPERLINK("https://mediafasadomsk.com/surfaces/bb-dianova-ul-8-1-naprotiv-svetofor-a-900.jpg","смотреть")</f>
        <v>смотреть</v>
      </c>
      <c r="H173">
        <v>54.99400000000002</v>
      </c>
      <c r="I173">
        <v>73.25810000000011</v>
      </c>
    </row>
    <row r="174">
      <c r="A174">
        <v>173</v>
      </c>
      <c r="B174" t="inlineStr">
        <is>
          <t xml:space="preserve">Дианова, чётная сторона, пересечение с улицей Лукашевича (светофор)</t>
        </is>
      </c>
      <c r="C174" t="inlineStr">
        <is>
          <t xml:space="preserve">Билборд</t>
        </is>
      </c>
      <c r="D174" t="inlineStr">
        <is>
          <t xml:space="preserve">6×3</t>
        </is>
      </c>
      <c r="E174" t="inlineStr">
        <is>
          <t xml:space="preserve">A, B</t>
        </is>
      </c>
      <c r="F174" s="2" t="str">
        <f>HYPERLINK("https://yandex.ru/maps/?pt=73.26901854301613,54.99190531448357&amp;z=17","открыть")</f>
        <v>открыть</v>
      </c>
      <c r="G174" s="2" t="str">
        <f>HYPERLINK("https://mediafasadomsk.com/surfaces/bb-dianova-ul-chetnaya-storona-h-s-ul-lukashevicha-svetofor-a-900.jpg","смотреть")</f>
        <v>смотреть</v>
      </c>
      <c r="H174">
        <v>54.99190531448357</v>
      </c>
      <c r="I174">
        <v>73.26901854301613</v>
      </c>
    </row>
    <row r="175">
      <c r="A175">
        <v>174</v>
      </c>
      <c r="B175" t="inlineStr">
        <is>
          <t xml:space="preserve">Дианова, напротив дома 14/1</t>
        </is>
      </c>
      <c r="C175" t="inlineStr">
        <is>
          <t xml:space="preserve">Цифровой билборд</t>
        </is>
      </c>
      <c r="D175" t="inlineStr">
        <is>
          <t xml:space="preserve">6×3</t>
        </is>
      </c>
      <c r="E175" t="inlineStr">
        <is>
          <t xml:space="preserve">A</t>
        </is>
      </c>
      <c r="F175" s="2" t="str">
        <f>HYPERLINK("https://yandex.ru/maps/?pt=73.250981,54.994293&amp;z=17","открыть")</f>
        <v>открыть</v>
      </c>
      <c r="G175" s="2" t="str">
        <f>HYPERLINK("https://mediafasadomsk.com/surfaces/bb-dianova-ul-d-14-1-naprotiv-a-900.jpg","смотреть")</f>
        <v>смотреть</v>
      </c>
      <c r="H175">
        <v>54.994293</v>
      </c>
      <c r="I175">
        <v>73.250981</v>
      </c>
    </row>
    <row r="176">
      <c r="A176">
        <v>175</v>
      </c>
      <c r="B176" t="inlineStr">
        <is>
          <t xml:space="preserve">Дианова, напротив дома 14/1</t>
        </is>
      </c>
      <c r="C176" t="inlineStr">
        <is>
          <t xml:space="preserve">Билборд</t>
        </is>
      </c>
      <c r="D176" t="inlineStr">
        <is>
          <t xml:space="preserve">6×3</t>
        </is>
      </c>
      <c r="E176" t="inlineStr">
        <is>
          <t xml:space="preserve">B</t>
        </is>
      </c>
      <c r="F176" s="2" t="str">
        <f>HYPERLINK("https://yandex.ru/maps/?pt=73.250981,54.994293&amp;z=17","открыть")</f>
        <v>открыть</v>
      </c>
      <c r="G176" s="2" t="str">
        <f>HYPERLINK("https://mediafasadomsk.com/surfaces/bb-dianova-ul-d-14-1-naprotiv-b-a-900.jpg","смотреть")</f>
        <v>смотреть</v>
      </c>
      <c r="H176">
        <v>54.994293</v>
      </c>
      <c r="I176">
        <v>73.250981</v>
      </c>
    </row>
    <row r="177">
      <c r="A177">
        <v>176</v>
      </c>
      <c r="B177" t="inlineStr">
        <is>
          <t xml:space="preserve">Дианова, 30</t>
        </is>
      </c>
      <c r="C177" t="inlineStr">
        <is>
          <t xml:space="preserve">Билборд</t>
        </is>
      </c>
      <c r="D177" t="inlineStr">
        <is>
          <t xml:space="preserve">6×3</t>
        </is>
      </c>
      <c r="E177" t="inlineStr">
        <is>
          <t xml:space="preserve">A, B</t>
        </is>
      </c>
      <c r="F177" s="2" t="str">
        <f>HYPERLINK("https://yandex.ru/maps/?pt=73.22922,54.995855&amp;z=17","открыть")</f>
        <v>открыть</v>
      </c>
      <c r="G177" s="2" t="str">
        <f>HYPERLINK("https://mediafasadomsk.com/surfaces/bb-dianova-ul-d-30-a-900.jpg","смотреть")</f>
        <v>смотреть</v>
      </c>
      <c r="H177">
        <v>54.995855</v>
      </c>
      <c r="I177">
        <v>73.22922</v>
      </c>
    </row>
    <row r="178">
      <c r="A178">
        <v>177</v>
      </c>
      <c r="B178" t="inlineStr">
        <is>
          <t xml:space="preserve">Дмитриева, напротив дома 7, после пересечения с улицей 70 лет Октября (светофор)</t>
        </is>
      </c>
      <c r="C178" t="inlineStr">
        <is>
          <t xml:space="preserve">Билборд</t>
        </is>
      </c>
      <c r="D178" t="inlineStr">
        <is>
          <t xml:space="preserve">6×3</t>
        </is>
      </c>
      <c r="E178" t="inlineStr">
        <is>
          <t xml:space="preserve">A, B</t>
        </is>
      </c>
      <c r="F178" s="2" t="str">
        <f>HYPERLINK("https://yandex.ru/maps/?pt=73.31260195000027,54.984907170000035&amp;z=17","открыть")</f>
        <v>открыть</v>
      </c>
      <c r="G178" s="2" t="str">
        <f>HYPERLINK("https://mediafasadomsk.com/surfaces/bb-dmitrieva-ul-7-naprotiv-posle-h-s-ul-70-let-oktyabrya-svetofor-a-900.jpg","смотреть")</f>
        <v>смотреть</v>
      </c>
      <c r="H178">
        <v>54.984907170000035</v>
      </c>
      <c r="I178">
        <v>73.31260195000027</v>
      </c>
    </row>
    <row r="179">
      <c r="A179">
        <v>178</v>
      </c>
      <c r="B179" t="inlineStr">
        <is>
          <t xml:space="preserve">Дорога от Арены Омск до Архитекторов Бульвар</t>
        </is>
      </c>
      <c r="C179" t="inlineStr">
        <is>
          <t xml:space="preserve">Билборд</t>
        </is>
      </c>
      <c r="D179" t="inlineStr">
        <is>
          <t xml:space="preserve">6×3</t>
        </is>
      </c>
      <c r="E179" t="inlineStr">
        <is>
          <t xml:space="preserve">A, B</t>
        </is>
      </c>
      <c r="F179" s="2" t="str">
        <f>HYPERLINK("https://yandex.ru/maps/?pt=73.31448,54.997524&amp;z=17","открыть")</f>
        <v>открыть</v>
      </c>
      <c r="G179" s="2" t="str">
        <f>HYPERLINK("https://mediafasadomsk.com/surfaces/bb-doroga-ot-areny-omsk-do-arhitektorov-bulvar-a-900.jpg","смотреть")</f>
        <v>смотреть</v>
      </c>
      <c r="H179">
        <v>54.997524</v>
      </c>
      <c r="I179">
        <v>73.31448</v>
      </c>
    </row>
    <row r="180">
      <c r="A180">
        <v>179</v>
      </c>
      <c r="B180" t="inlineStr">
        <is>
          <t xml:space="preserve">Думская, 2 (у пересечения с улицей Пушкина, светофор, ТЦ «Триумф»)</t>
        </is>
      </c>
      <c r="C180" t="inlineStr">
        <is>
          <t xml:space="preserve">Цифровой билборд</t>
        </is>
      </c>
      <c r="D180" t="inlineStr">
        <is>
          <t xml:space="preserve">6×3</t>
        </is>
      </c>
      <c r="E180" t="inlineStr">
        <is>
          <t xml:space="preserve">A1, B1</t>
        </is>
      </c>
      <c r="F180" s="2" t="str">
        <f>HYPERLINK("https://yandex.ru/maps/?pt=73.38419999999984,54.98369999999999&amp;z=17","открыть")</f>
        <v>открыть</v>
      </c>
      <c r="G180" s="2" t="str">
        <f>HYPERLINK("https://mediafasadomsk.com/surfaces/bb-dumskaya-ul-2-h-s-ul-pushkina-svetofor-tc-triumf-a-900.jpg","смотреть")</f>
        <v>смотреть</v>
      </c>
      <c r="H180">
        <v>54.98369999999999</v>
      </c>
      <c r="I180">
        <v>73.38419999999984</v>
      </c>
    </row>
    <row r="181">
      <c r="A181">
        <v>180</v>
      </c>
      <c r="B181" t="inlineStr">
        <is>
          <t xml:space="preserve">Думская, 4/1</t>
        </is>
      </c>
      <c r="C181" t="inlineStr">
        <is>
          <t xml:space="preserve">Цифровой билборд</t>
        </is>
      </c>
      <c r="D181" t="inlineStr">
        <is>
          <t xml:space="preserve">6×3</t>
        </is>
      </c>
      <c r="E181" t="inlineStr">
        <is>
          <t xml:space="preserve">A, B</t>
        </is>
      </c>
      <c r="F181" s="2" t="str">
        <f>HYPERLINK("https://yandex.ru/maps/?pt=73.386306,54.984278&amp;z=17","открыть")</f>
        <v>открыть</v>
      </c>
      <c r="G181" s="2" t="str">
        <f>HYPERLINK("https://mediafasadomsk.com/surfaces/bb-dumskaya-ul-4-1-a-900.jpg","смотреть")</f>
        <v>смотреть</v>
      </c>
      <c r="H181">
        <v>54.984278</v>
      </c>
      <c r="I181">
        <v>73.386306</v>
      </c>
    </row>
    <row r="182">
      <c r="A182">
        <v>181</v>
      </c>
      <c r="B182" t="inlineStr">
        <is>
          <t xml:space="preserve">3-я Енисейская, напротив дома 21 (улица Конева)</t>
        </is>
      </c>
      <c r="C182" t="inlineStr">
        <is>
          <t xml:space="preserve">Цифровой билборд</t>
        </is>
      </c>
      <c r="D182" t="inlineStr">
        <is>
          <t xml:space="preserve">6×3</t>
        </is>
      </c>
      <c r="E182" t="inlineStr">
        <is>
          <t xml:space="preserve">B</t>
        </is>
      </c>
      <c r="F182" s="2" t="str">
        <f>HYPERLINK("https://yandex.ru/maps/?pt=73.335291,54.98404&amp;z=17","открыть")</f>
        <v>открыть</v>
      </c>
      <c r="G182" s="2" t="str">
        <f>HYPERLINK("https://mediafasadomsk.com/surfaces/bb-enisejskaya-3-ya-ul-21-naprotiv-koneva-ul-a-900.jpg","смотреть")</f>
        <v>смотреть</v>
      </c>
      <c r="H182">
        <v>54.98404</v>
      </c>
      <c r="I182">
        <v>73.335291</v>
      </c>
    </row>
    <row r="183">
      <c r="A183">
        <v>182</v>
      </c>
      <c r="B183" t="inlineStr">
        <is>
          <t xml:space="preserve">3-я Енисейская, напротив дома 21 (улица Конева)</t>
        </is>
      </c>
      <c r="C183" t="inlineStr">
        <is>
          <t xml:space="preserve">Призматрон</t>
        </is>
      </c>
      <c r="D183" t="inlineStr">
        <is>
          <t xml:space="preserve">6×3</t>
        </is>
      </c>
      <c r="E183" t="inlineStr">
        <is>
          <t xml:space="preserve">A, B</t>
        </is>
      </c>
      <c r="F183" s="2" t="str">
        <f>HYPERLINK("https://yandex.ru/maps/?pt=73.335291,54.98404&amp;z=17","открыть")</f>
        <v>открыть</v>
      </c>
      <c r="G183" s="2" t="str">
        <f>HYPERLINK("https://mediafasadomsk.com/surfaces/bb-enisejskaya-3-ya-ul-21-naprotiv-koneva-ul-2-a-900.jpg","смотреть")</f>
        <v>смотреть</v>
      </c>
      <c r="H183">
        <v>54.98404</v>
      </c>
      <c r="I183">
        <v>73.335291</v>
      </c>
    </row>
    <row r="184">
      <c r="A184">
        <v>183</v>
      </c>
      <c r="B184" t="inlineStr">
        <is>
          <t xml:space="preserve">3-я Енисейская, 37</t>
        </is>
      </c>
      <c r="C184" t="inlineStr">
        <is>
          <t xml:space="preserve">Билборд</t>
        </is>
      </c>
      <c r="D184" t="inlineStr">
        <is>
          <t xml:space="preserve">6×3</t>
        </is>
      </c>
      <c r="E184" t="inlineStr">
        <is>
          <t xml:space="preserve">A, B</t>
        </is>
      </c>
      <c r="F184" s="2" t="str">
        <f>HYPERLINK("https://yandex.ru/maps/?pt=73.33176624232149,54.98680170478464&amp;z=17","открыть")</f>
        <v>открыть</v>
      </c>
      <c r="G184" s="2" t="str">
        <f>HYPERLINK("https://mediafasadomsk.com/surfaces/bb-enisejskaya-3-ya-ul-37-a-900.jpg","смотреть")</f>
        <v>смотреть</v>
      </c>
      <c r="H184">
        <v>54.98680170478464</v>
      </c>
      <c r="I184">
        <v>73.33176624232149</v>
      </c>
    </row>
    <row r="185">
      <c r="A185">
        <v>184</v>
      </c>
      <c r="B185" t="inlineStr">
        <is>
          <t xml:space="preserve">Енисейская, 1</t>
        </is>
      </c>
      <c r="C185" t="inlineStr">
        <is>
          <t xml:space="preserve">Цифровой билборд</t>
        </is>
      </c>
      <c r="D185" t="inlineStr">
        <is>
          <t xml:space="preserve">6×3</t>
        </is>
      </c>
      <c r="E185" t="inlineStr">
        <is>
          <t xml:space="preserve">A</t>
        </is>
      </c>
      <c r="F185" s="2" t="str">
        <f>HYPERLINK("https://yandex.ru/maps/?pt=73.341247,54.974342&amp;z=17","открыть")</f>
        <v>открыть</v>
      </c>
      <c r="G185" s="2" t="str">
        <f>HYPERLINK("https://mediafasadomsk.com/surfaces/bb-enisejskaya-ul-1-a-900.jpg","смотреть")</f>
        <v>смотреть</v>
      </c>
      <c r="H185">
        <v>54.974342</v>
      </c>
      <c r="I185">
        <v>73.341247</v>
      </c>
    </row>
    <row r="186">
      <c r="A186">
        <v>185</v>
      </c>
      <c r="B186" t="inlineStr">
        <is>
          <t xml:space="preserve">Енисейская, 1</t>
        </is>
      </c>
      <c r="C186" t="inlineStr">
        <is>
          <t xml:space="preserve">Билборд</t>
        </is>
      </c>
      <c r="D186" t="inlineStr">
        <is>
          <t xml:space="preserve">6×3</t>
        </is>
      </c>
      <c r="E186" t="inlineStr">
        <is>
          <t xml:space="preserve">B</t>
        </is>
      </c>
      <c r="F186" s="2" t="str">
        <f>HYPERLINK("https://yandex.ru/maps/?pt=73.341247,54.974342&amp;z=17","открыть")</f>
        <v>открыть</v>
      </c>
      <c r="G186" s="2" t="str">
        <f>HYPERLINK("https://mediafasadomsk.com/surfaces/bb-enisejskaya-ul-1-b-a-900.jpg","смотреть")</f>
        <v>смотреть</v>
      </c>
      <c r="H186">
        <v>54.974342</v>
      </c>
      <c r="I186">
        <v>73.341247</v>
      </c>
    </row>
    <row r="187">
      <c r="A187">
        <v>186</v>
      </c>
      <c r="B187" t="inlineStr">
        <is>
          <t xml:space="preserve">Енисейская, 14 (светофор)</t>
        </is>
      </c>
      <c r="C187" t="inlineStr">
        <is>
          <t xml:space="preserve">Билборд</t>
        </is>
      </c>
      <c r="D187" t="inlineStr">
        <is>
          <t xml:space="preserve">6×3</t>
        </is>
      </c>
      <c r="E187" t="inlineStr">
        <is>
          <t xml:space="preserve">A, B</t>
        </is>
      </c>
      <c r="F187" s="2" t="str">
        <f>HYPERLINK("https://yandex.ru/maps/?pt=73.33973704586478,54.97589531819005&amp;z=17","открыть")</f>
        <v>открыть</v>
      </c>
      <c r="G187" s="2" t="str">
        <f>HYPERLINK("https://mediafasadomsk.com/surfaces/bb-enisejskaya-ul-14-svetofor-a-900.jpg","смотреть")</f>
        <v>смотреть</v>
      </c>
      <c r="H187">
        <v>54.97589531819005</v>
      </c>
      <c r="I187">
        <v>73.33973704586478</v>
      </c>
    </row>
    <row r="188">
      <c r="A188">
        <v>187</v>
      </c>
      <c r="B188" t="inlineStr">
        <is>
          <t xml:space="preserve">Енисейская, 150 м после съезда с Тюкалинской развязки</t>
        </is>
      </c>
      <c r="C188" t="inlineStr">
        <is>
          <t xml:space="preserve">Билборд</t>
        </is>
      </c>
      <c r="D188" t="inlineStr">
        <is>
          <t xml:space="preserve">6×3</t>
        </is>
      </c>
      <c r="E188" t="inlineStr">
        <is>
          <t xml:space="preserve">A, B</t>
        </is>
      </c>
      <c r="F188" s="2" t="str">
        <f>HYPERLINK("https://yandex.ru/maps/?pt=73.3449030000002,54.96911199999998&amp;z=17","открыть")</f>
        <v>открыть</v>
      </c>
      <c r="G188" s="2" t="str">
        <f>HYPERLINK("https://mediafasadomsk.com/surfaces/bb-enisejskaya-ul-150-m-posle-sezda-s-tyukalinskoj-razvyazki-a-900.jpg","смотреть")</f>
        <v>смотреть</v>
      </c>
      <c r="H188">
        <v>54.96911199999998</v>
      </c>
      <c r="I188">
        <v>73.3449030000002</v>
      </c>
    </row>
    <row r="189">
      <c r="A189">
        <v>188</v>
      </c>
      <c r="B189" t="inlineStr">
        <is>
          <t xml:space="preserve">Енисейская, 1к2-1А</t>
        </is>
      </c>
      <c r="C189" t="inlineStr">
        <is>
          <t xml:space="preserve">Билборд</t>
        </is>
      </c>
      <c r="D189" t="inlineStr">
        <is>
          <t xml:space="preserve">6×3</t>
        </is>
      </c>
      <c r="E189" t="inlineStr">
        <is>
          <t xml:space="preserve">A, B</t>
        </is>
      </c>
      <c r="F189" s="2" t="str">
        <f>HYPERLINK("https://yandex.ru/maps/?pt=73.34198996705229,54.97332028702457&amp;z=17","открыть")</f>
        <v>открыть</v>
      </c>
      <c r="G189" s="2" t="str">
        <f>HYPERLINK("https://mediafasadomsk.com/surfaces/bb-enisejskaya-ul-1k2-1a-a-900.jpg","смотреть")</f>
        <v>смотреть</v>
      </c>
      <c r="H189">
        <v>54.97332028702457</v>
      </c>
      <c r="I189">
        <v>73.34198996705229</v>
      </c>
    </row>
    <row r="190">
      <c r="A190">
        <v>189</v>
      </c>
      <c r="B190" t="inlineStr">
        <is>
          <t xml:space="preserve">Енисейская, 200 м до въезда на Тюкалинскую развязку</t>
        </is>
      </c>
      <c r="C190" t="inlineStr">
        <is>
          <t xml:space="preserve">Билборд</t>
        </is>
      </c>
      <c r="D190" t="inlineStr">
        <is>
          <t xml:space="preserve">6×3</t>
        </is>
      </c>
      <c r="E190" t="inlineStr">
        <is>
          <t xml:space="preserve">A, B</t>
        </is>
      </c>
      <c r="F190" s="2" t="str">
        <f>HYPERLINK("https://yandex.ru/maps/?pt=73.34390000000006,54.96960000000001&amp;z=17","открыть")</f>
        <v>открыть</v>
      </c>
      <c r="G190" s="2" t="str">
        <f>HYPERLINK("https://mediafasadomsk.com/surfaces/bb-enisejskaya-ul-200-m-do-vezda-na-tyukalinskuyu-razvyazku-a-900.jpg","смотреть")</f>
        <v>смотреть</v>
      </c>
      <c r="H190">
        <v>54.96960000000001</v>
      </c>
      <c r="I190">
        <v>73.34390000000006</v>
      </c>
    </row>
    <row r="191">
      <c r="A191">
        <v>190</v>
      </c>
      <c r="B191" t="inlineStr">
        <is>
          <t xml:space="preserve">Енисейская, 370 м после съезда с Тюкалинской развязки</t>
        </is>
      </c>
      <c r="C191" t="inlineStr">
        <is>
          <t xml:space="preserve">Билборд</t>
        </is>
      </c>
      <c r="D191" t="inlineStr">
        <is>
          <t xml:space="preserve">6×3</t>
        </is>
      </c>
      <c r="E191" t="inlineStr">
        <is>
          <t xml:space="preserve">A, B</t>
        </is>
      </c>
      <c r="F191" s="2" t="str">
        <f>HYPERLINK("https://yandex.ru/maps/?pt=73.34369999999971,54.97090000000001&amp;z=17","открыть")</f>
        <v>открыть</v>
      </c>
      <c r="G191" s="2" t="str">
        <f>HYPERLINK("https://mediafasadomsk.com/surfaces/bb-enisejskaya-ul-370-m-posle-sezda-s-tyukalinskoj-razvyazki-a-900.jpg","смотреть")</f>
        <v>смотреть</v>
      </c>
      <c r="H191">
        <v>54.97090000000001</v>
      </c>
      <c r="I191">
        <v>73.34369999999971</v>
      </c>
    </row>
    <row r="192">
      <c r="A192">
        <v>191</v>
      </c>
      <c r="B192" t="inlineStr">
        <is>
          <t xml:space="preserve">Енисейская, 3А (светофор)</t>
        </is>
      </c>
      <c r="C192" t="inlineStr">
        <is>
          <t xml:space="preserve">Билборд</t>
        </is>
      </c>
      <c r="D192" t="inlineStr">
        <is>
          <t xml:space="preserve">6×3</t>
        </is>
      </c>
      <c r="E192" t="inlineStr">
        <is>
          <t xml:space="preserve">A, B</t>
        </is>
      </c>
      <c r="F192" s="2" t="str">
        <f>HYPERLINK("https://yandex.ru/maps/?pt=73.33949999999993,54.976999999999975&amp;z=17","открыть")</f>
        <v>открыть</v>
      </c>
      <c r="G192" s="2" t="str">
        <f>HYPERLINK("https://mediafasadomsk.com/surfaces/bb-enisejskaya-ul-3a-svetofor-a-900.jpg","смотреть")</f>
        <v>смотреть</v>
      </c>
      <c r="H192">
        <v>54.976999999999975</v>
      </c>
      <c r="I192">
        <v>73.33949999999993</v>
      </c>
    </row>
    <row r="193">
      <c r="A193">
        <v>192</v>
      </c>
      <c r="B193" t="inlineStr">
        <is>
          <t xml:space="preserve">Енисейская, 3/2 (у пересечения с улицей 70 лет Октября, светофор)</t>
        </is>
      </c>
      <c r="C193" t="inlineStr">
        <is>
          <t xml:space="preserve">Призматрон</t>
        </is>
      </c>
      <c r="D193" t="inlineStr">
        <is>
          <t xml:space="preserve">6×3</t>
        </is>
      </c>
      <c r="E193" t="inlineStr">
        <is>
          <t xml:space="preserve">A1</t>
        </is>
      </c>
      <c r="F193" s="2" t="str">
        <f>HYPERLINK("https://yandex.ru/maps/?pt=73.33905556812432,54.97755358148506&amp;z=17","открыть")</f>
        <v>открыть</v>
      </c>
      <c r="G193" s="2" t="str">
        <f>HYPERLINK("https://mediafasadomsk.com/surfaces/bb-enisejskaya-ul-3k2-h-s-ul-70-let-oktyabrya-svetofor-a-900.jpg","смотреть")</f>
        <v>смотреть</v>
      </c>
      <c r="H193">
        <v>54.97755358148506</v>
      </c>
      <c r="I193">
        <v>73.33905556812432</v>
      </c>
    </row>
    <row r="194">
      <c r="A194">
        <v>193</v>
      </c>
      <c r="B194" t="inlineStr">
        <is>
          <t xml:space="preserve">Енисейская, 3/2 (у пересечения с улицей 70 лет Октября, светофор)</t>
        </is>
      </c>
      <c r="C194" t="inlineStr">
        <is>
          <t xml:space="preserve">Билборд</t>
        </is>
      </c>
      <c r="D194" t="inlineStr">
        <is>
          <t xml:space="preserve">6×3</t>
        </is>
      </c>
      <c r="E194" t="inlineStr">
        <is>
          <t xml:space="preserve">B</t>
        </is>
      </c>
      <c r="F194" s="2" t="str">
        <f>HYPERLINK("https://yandex.ru/maps/?pt=73.33905556812432,54.97755358148506&amp;z=17","открыть")</f>
        <v>открыть</v>
      </c>
      <c r="G194" s="2" t="str">
        <f>HYPERLINK("https://mediafasadomsk.com/surfaces/bb-enisejskaya-ul-3k2-h-s-ul-70-let-oktyabrya-svetofor-b-a-900.jpg","смотреть")</f>
        <v>смотреть</v>
      </c>
      <c r="H194">
        <v>54.97755358148506</v>
      </c>
      <c r="I194">
        <v>73.33905556812432</v>
      </c>
    </row>
    <row r="195">
      <c r="A195">
        <v>194</v>
      </c>
      <c r="B195" t="inlineStr">
        <is>
          <t xml:space="preserve">Енисейская, 430 м до въезда на Тюкалинскую развязку (светофор)</t>
        </is>
      </c>
      <c r="C195" t="inlineStr">
        <is>
          <t xml:space="preserve">Билборд</t>
        </is>
      </c>
      <c r="D195" t="inlineStr">
        <is>
          <t xml:space="preserve">6×3</t>
        </is>
      </c>
      <c r="E195" t="inlineStr">
        <is>
          <t xml:space="preserve">A, B</t>
        </is>
      </c>
      <c r="F195" s="2" t="str">
        <f>HYPERLINK("https://yandex.ru/maps/?pt=73.3426992441979,54.97162907436167&amp;z=17","открыть")</f>
        <v>открыть</v>
      </c>
      <c r="G195" s="2" t="str">
        <f>HYPERLINK("https://mediafasadomsk.com/surfaces/bb-enisejskaya-ul-430-m-do-vezda-na-tyukalinskuyu-razvyazku-svetofor-a-900.jpg","смотреть")</f>
        <v>смотреть</v>
      </c>
      <c r="H195">
        <v>54.97162907436167</v>
      </c>
      <c r="I195">
        <v>73.3426992441979</v>
      </c>
    </row>
    <row r="196">
      <c r="A196">
        <v>195</v>
      </c>
      <c r="B196" t="inlineStr">
        <is>
          <t xml:space="preserve">Енисейская, 450 м после съезда с Тюкалинской развязки</t>
        </is>
      </c>
      <c r="C196" t="inlineStr">
        <is>
          <t xml:space="preserve">Билборд</t>
        </is>
      </c>
      <c r="D196" t="inlineStr">
        <is>
          <t xml:space="preserve">6×3</t>
        </is>
      </c>
      <c r="E196" t="inlineStr">
        <is>
          <t xml:space="preserve">A, B</t>
        </is>
      </c>
      <c r="F196" s="2" t="str">
        <f>HYPERLINK("https://yandex.ru/maps/?pt=73.34317979088102,54.97168279863582&amp;z=17","открыть")</f>
        <v>открыть</v>
      </c>
      <c r="G196" s="2" t="str">
        <f>HYPERLINK("https://mediafasadomsk.com/surfaces/bb-enisejskaya-ul-450-m-posle-sezda-s-tyukalinskoj-razvyazki-a-900.jpg","смотреть")</f>
        <v>смотреть</v>
      </c>
      <c r="H196">
        <v>54.97168279863582</v>
      </c>
      <c r="I196">
        <v>73.34317979088102</v>
      </c>
    </row>
    <row r="197">
      <c r="A197">
        <v>196</v>
      </c>
      <c r="B197" t="inlineStr">
        <is>
          <t xml:space="preserve">Енисейская, до пересечения с Объездной дорогой (светофор)</t>
        </is>
      </c>
      <c r="C197" t="inlineStr">
        <is>
          <t xml:space="preserve">Цифровой билборд</t>
        </is>
      </c>
      <c r="D197" t="inlineStr">
        <is>
          <t xml:space="preserve">6×3</t>
        </is>
      </c>
      <c r="E197" t="inlineStr">
        <is>
          <t xml:space="preserve">A1, B1</t>
        </is>
      </c>
      <c r="F197" s="2" t="str">
        <f>HYPERLINK("https://yandex.ru/maps/?pt=73.34188385265823,54.97283605738428&amp;z=17","открыть")</f>
        <v>открыть</v>
      </c>
      <c r="G197" s="2" t="str">
        <f>HYPERLINK("https://mediafasadomsk.com/surfaces/bb-enisejskaya-ul-do-h-s-obezdnoj-dorogoj-svetofor-a-900.jpg","смотреть")</f>
        <v>смотреть</v>
      </c>
      <c r="H197">
        <v>54.97283605738428</v>
      </c>
      <c r="I197">
        <v>73.34188385265823</v>
      </c>
    </row>
    <row r="198">
      <c r="A198">
        <v>197</v>
      </c>
      <c r="B198" t="inlineStr">
        <is>
          <t xml:space="preserve">Енисейская, Кировская развязка [№3]</t>
        </is>
      </c>
      <c r="C198" t="inlineStr">
        <is>
          <t xml:space="preserve">Билборд</t>
        </is>
      </c>
      <c r="D198" t="inlineStr">
        <is>
          <t xml:space="preserve">6×3</t>
        </is>
      </c>
      <c r="E198" t="inlineStr">
        <is>
          <t xml:space="preserve">A, B</t>
        </is>
      </c>
      <c r="F198" s="2" t="str">
        <f>HYPERLINK("https://yandex.ru/maps/?pt=73.345562,54.968105&amp;z=17","открыть")</f>
        <v>открыть</v>
      </c>
      <c r="G198" s="2" t="str">
        <f>HYPERLINK("https://mediafasadomsk.com/surfaces/bb-enisejskaya-ul-kirovskaya-razvyazka-3-a-900.jpg","смотреть")</f>
        <v>смотреть</v>
      </c>
      <c r="H198">
        <v>54.968105</v>
      </c>
      <c r="I198">
        <v>73.345562</v>
      </c>
    </row>
    <row r="199">
      <c r="A199">
        <v>198</v>
      </c>
      <c r="B199" t="inlineStr">
        <is>
          <t xml:space="preserve">Енисейская, после пересечения с Объездной дорогой (светофор)</t>
        </is>
      </c>
      <c r="C199" t="inlineStr">
        <is>
          <t xml:space="preserve">Цифровой билборд</t>
        </is>
      </c>
      <c r="D199" t="inlineStr">
        <is>
          <t xml:space="preserve">6×3</t>
        </is>
      </c>
      <c r="E199" t="inlineStr">
        <is>
          <t xml:space="preserve">A1, B1</t>
        </is>
      </c>
      <c r="F199" s="2" t="str">
        <f>HYPERLINK("https://yandex.ru/maps/?pt=73.34198041218178,54.97265747412112&amp;z=17","открыть")</f>
        <v>открыть</v>
      </c>
      <c r="G199" s="2" t="str">
        <f>HYPERLINK("https://mediafasadomsk.com/surfaces/bb-enisejskaya-ul-posle-h-s-obezdnoj-dorogoj-svetofor-a-900.jpg","смотреть")</f>
        <v>смотреть</v>
      </c>
      <c r="H199">
        <v>54.97265747412112</v>
      </c>
      <c r="I199">
        <v>73.34198041218178</v>
      </c>
    </row>
    <row r="200">
      <c r="A200">
        <v>199</v>
      </c>
      <c r="B200" t="inlineStr">
        <is>
          <t xml:space="preserve">Фрунзе, напротив дома 101 (у пересечения с улицей Гусарова, светофор, ТЦ «Омский»)</t>
        </is>
      </c>
      <c r="C200" t="inlineStr">
        <is>
          <t xml:space="preserve">Цифровой билборд</t>
        </is>
      </c>
      <c r="D200" t="inlineStr">
        <is>
          <t xml:space="preserve">6×3</t>
        </is>
      </c>
      <c r="E200" t="inlineStr">
        <is>
          <t xml:space="preserve">B1</t>
        </is>
      </c>
      <c r="F200" s="2" t="str">
        <f>HYPERLINK("https://yandex.ru/maps/?pt=73.37642035861327,54.99395037101174&amp;z=17","открыть")</f>
        <v>открыть</v>
      </c>
      <c r="G200" s="2" t="str">
        <f>HYPERLINK("https://mediafasadomsk.com/surfaces/bb-frunze-ul-101-naprotiv-h-s-ul-gusarova-svetofor-tc-omskij-a-900.jpg","смотреть")</f>
        <v>смотреть</v>
      </c>
      <c r="H200">
        <v>54.99395037101174</v>
      </c>
      <c r="I200">
        <v>73.37642035861327</v>
      </c>
    </row>
    <row r="201">
      <c r="A201">
        <v>200</v>
      </c>
      <c r="B201" t="inlineStr">
        <is>
          <t xml:space="preserve">Фрунзе, 38 (у пересечения с улицей Красный Путь, светофор)</t>
        </is>
      </c>
      <c r="C201" t="inlineStr">
        <is>
          <t xml:space="preserve">Цифровой билборд</t>
        </is>
      </c>
      <c r="D201" t="inlineStr">
        <is>
          <t xml:space="preserve">6×3</t>
        </is>
      </c>
      <c r="E201" t="inlineStr">
        <is>
          <t xml:space="preserve">A1</t>
        </is>
      </c>
      <c r="F201" s="2" t="str">
        <f>HYPERLINK("https://yandex.ru/maps/?pt=73.36042634577638,54.99403343075639&amp;z=17","открыть")</f>
        <v>открыть</v>
      </c>
      <c r="G201" s="2" t="str">
        <f>HYPERLINK("https://mediafasadomsk.com/surfaces/bb-frunze-ul-38-h-s-ul-krasnyj-put-svetofor-a-900.jpg","смотреть")</f>
        <v>смотреть</v>
      </c>
      <c r="H201">
        <v>54.99403343075639</v>
      </c>
      <c r="I201">
        <v>73.36042634577638</v>
      </c>
    </row>
    <row r="202">
      <c r="A202">
        <v>201</v>
      </c>
      <c r="B202" t="inlineStr">
        <is>
          <t xml:space="preserve">Фрунзе, 47 (улица Орджоникидзе)</t>
        </is>
      </c>
      <c r="C202" t="inlineStr">
        <is>
          <t xml:space="preserve">Цифровой билборд</t>
        </is>
      </c>
      <c r="D202" t="inlineStr">
        <is>
          <t xml:space="preserve">6×3</t>
        </is>
      </c>
      <c r="E202" t="inlineStr">
        <is>
          <t xml:space="preserve">A, B</t>
        </is>
      </c>
      <c r="F202" s="2" t="str">
        <f>HYPERLINK("https://yandex.ru/maps/?pt=73.36511,54.99538&amp;z=17","открыть")</f>
        <v>открыть</v>
      </c>
      <c r="G202" s="2" t="str">
        <f>HYPERLINK("https://mediafasadomsk.com/surfaces/bb-frunze-ul-47-ordzhonikidze-ul-a-900.jpg","смотреть")</f>
        <v>смотреть</v>
      </c>
      <c r="H202">
        <v>54.99538</v>
      </c>
      <c r="I202">
        <v>73.36511</v>
      </c>
    </row>
    <row r="203">
      <c r="A203">
        <v>202</v>
      </c>
      <c r="B203" t="inlineStr">
        <is>
          <t xml:space="preserve">Фрунзе, 72/2 (у пересечения с улицей Тарская, светофор)</t>
        </is>
      </c>
      <c r="C203" t="inlineStr">
        <is>
          <t xml:space="preserve">Билборд</t>
        </is>
      </c>
      <c r="D203" t="inlineStr">
        <is>
          <t xml:space="preserve">6×3</t>
        </is>
      </c>
      <c r="E203" t="inlineStr">
        <is>
          <t xml:space="preserve">A</t>
        </is>
      </c>
      <c r="F203" s="2" t="str">
        <f>HYPERLINK("https://yandex.ru/maps/?pt=73.36900000000001,54.99450000000003&amp;z=17","открыть")</f>
        <v>открыть</v>
      </c>
      <c r="G203" s="2" t="str">
        <f>HYPERLINK("https://mediafasadomsk.com/surfaces/bb-frunze-ul-72-2-h-s-ul-tarskaya-svetofor-a-900.jpg","смотреть")</f>
        <v>смотреть</v>
      </c>
      <c r="H203">
        <v>54.99450000000003</v>
      </c>
      <c r="I203">
        <v>73.36900000000001</v>
      </c>
    </row>
    <row r="204">
      <c r="A204">
        <v>203</v>
      </c>
      <c r="B204" t="inlineStr">
        <is>
          <t xml:space="preserve">Фрунзе, напротив дома 73 (у пересечения с улицей Герцена, светофор, ТЦ «Флагман»)</t>
        </is>
      </c>
      <c r="C204" t="inlineStr">
        <is>
          <t xml:space="preserve">Призматрон</t>
        </is>
      </c>
      <c r="D204" t="inlineStr">
        <is>
          <t xml:space="preserve">6×3</t>
        </is>
      </c>
      <c r="E204" t="inlineStr">
        <is>
          <t xml:space="preserve">A1, B1</t>
        </is>
      </c>
      <c r="F204" s="2" t="str">
        <f>HYPERLINK("https://yandex.ru/maps/?pt=73.3718221028327,54.99442611060893&amp;z=17","открыть")</f>
        <v>открыть</v>
      </c>
      <c r="G204" s="2" t="str">
        <f>HYPERLINK("https://mediafasadomsk.com/surfaces/bb-frunze-ul-73-naprotiv-h-s-ul-gercena-svetofor-tc-flagman-a-900.jpg","смотреть")</f>
        <v>смотреть</v>
      </c>
      <c r="H204">
        <v>54.99442611060893</v>
      </c>
      <c r="I204">
        <v>73.3718221028327</v>
      </c>
    </row>
    <row r="205">
      <c r="A205">
        <v>204</v>
      </c>
      <c r="B205" t="inlineStr">
        <is>
          <t xml:space="preserve">Фрунзе, 89 (у пересечения с улицей Герцена, светофор, ТЦ «Флагман»)</t>
        </is>
      </c>
      <c r="C205" t="inlineStr">
        <is>
          <t xml:space="preserve">Призматрон</t>
        </is>
      </c>
      <c r="D205" t="inlineStr">
        <is>
          <t xml:space="preserve">6×3</t>
        </is>
      </c>
      <c r="E205" t="inlineStr">
        <is>
          <t xml:space="preserve">A1</t>
        </is>
      </c>
      <c r="F205" s="2" t="str">
        <f>HYPERLINK("https://yandex.ru/maps/?pt=73.37330000000027,54.99459999999997&amp;z=17","открыть")</f>
        <v>открыть</v>
      </c>
      <c r="G205" s="2" t="str">
        <f>HYPERLINK("https://mediafasadomsk.com/surfaces/bb-frunze-ul-89-h-s-ul-gercena-svetofor-tc-flagman-a-900.jpg","смотреть")</f>
        <v>смотреть</v>
      </c>
      <c r="H205">
        <v>54.99459999999997</v>
      </c>
      <c r="I205">
        <v>73.37330000000027</v>
      </c>
    </row>
    <row r="206">
      <c r="A206">
        <v>205</v>
      </c>
      <c r="B206" t="inlineStr">
        <is>
          <t xml:space="preserve">Фрунзе, 89 (у пересечения с улицей Герцена, светофор, ТЦ «Флагман»)</t>
        </is>
      </c>
      <c r="C206" t="inlineStr">
        <is>
          <t xml:space="preserve">Билборд</t>
        </is>
      </c>
      <c r="D206" t="inlineStr">
        <is>
          <t xml:space="preserve">6×3</t>
        </is>
      </c>
      <c r="E206" t="inlineStr">
        <is>
          <t xml:space="preserve">B</t>
        </is>
      </c>
      <c r="F206" s="2" t="str">
        <f>HYPERLINK("https://yandex.ru/maps/?pt=73.37330000000027,54.99459999999997&amp;z=17","открыть")</f>
        <v>открыть</v>
      </c>
      <c r="G206" s="2" t="str">
        <f>HYPERLINK("https://mediafasadomsk.com/surfaces/bb-frunze-ul-89-h-s-ul-gercena-svetofor-tc-flagman-b-a-900.jpg","смотреть")</f>
        <v>смотреть</v>
      </c>
      <c r="H206">
        <v>54.99459999999997</v>
      </c>
      <c r="I206">
        <v>73.37330000000027</v>
      </c>
    </row>
    <row r="207">
      <c r="A207">
        <v>206</v>
      </c>
      <c r="B207" t="inlineStr">
        <is>
          <t xml:space="preserve">Фрунзе, 93 (у пересечения с улицей Булатова, светофор, ТЦ «Флагман»)</t>
        </is>
      </c>
      <c r="C207" t="inlineStr">
        <is>
          <t xml:space="preserve">Цифровой билборд</t>
        </is>
      </c>
      <c r="D207" t="inlineStr">
        <is>
          <t xml:space="preserve">6×3</t>
        </is>
      </c>
      <c r="E207" t="inlineStr">
        <is>
          <t xml:space="preserve">A1</t>
        </is>
      </c>
      <c r="F207" s="2" t="str">
        <f>HYPERLINK("https://yandex.ru/maps/?pt=73.37546700000023,54.99433399999999&amp;z=17","открыть")</f>
        <v>открыть</v>
      </c>
      <c r="G207" s="2" t="str">
        <f>HYPERLINK("https://mediafasadomsk.com/surfaces/bb-frunze-ul-93-h-s-ul-bulatova-svetofor-tc-flagman-a-900.jpg","смотреть")</f>
        <v>смотреть</v>
      </c>
      <c r="H207">
        <v>54.99433399999999</v>
      </c>
      <c r="I207">
        <v>73.37546700000023</v>
      </c>
    </row>
    <row r="208">
      <c r="A208">
        <v>207</v>
      </c>
      <c r="B208" t="inlineStr">
        <is>
          <t xml:space="preserve">Фрунзе, 93, пересечение с улицей Булатова (светофор, ТЦ «Флагман»), по улице Булатова</t>
        </is>
      </c>
      <c r="C208" t="inlineStr">
        <is>
          <t xml:space="preserve">Цифровой билборд</t>
        </is>
      </c>
      <c r="D208" t="inlineStr">
        <is>
          <t xml:space="preserve">6×3</t>
        </is>
      </c>
      <c r="E208" t="inlineStr">
        <is>
          <t xml:space="preserve">A2</t>
        </is>
      </c>
      <c r="F208" s="2" t="str">
        <f>HYPERLINK("https://yandex.ru/maps/?pt=73.37546700000023,54.99433399999999&amp;z=17","открыть")</f>
        <v>открыть</v>
      </c>
      <c r="G208" s="2" t="str">
        <f>HYPERLINK("https://mediafasadomsk.com/surfaces/bb-frunze-ul-93-h-s-ul-bulatova-svetofor-tc-flagman-po-ul-bulatova-a-900.jpg","смотреть")</f>
        <v>смотреть</v>
      </c>
      <c r="H208">
        <v>54.99433399999999</v>
      </c>
      <c r="I208">
        <v>73.37546700000023</v>
      </c>
    </row>
    <row r="209">
      <c r="A209">
        <v>208</v>
      </c>
      <c r="B209" t="inlineStr">
        <is>
          <t xml:space="preserve">Фрунзе, чётная сторона, съезд на улицу Госпитальная (ТЦ «Флагман»)</t>
        </is>
      </c>
      <c r="C209" t="inlineStr">
        <is>
          <t xml:space="preserve">Билборд</t>
        </is>
      </c>
      <c r="D209" t="inlineStr">
        <is>
          <t xml:space="preserve">6×3</t>
        </is>
      </c>
      <c r="E209" t="inlineStr">
        <is>
          <t xml:space="preserve">A, B</t>
        </is>
      </c>
      <c r="F209" s="2" t="str">
        <f>HYPERLINK("https://yandex.ru/maps/?pt=73.37844903802889,54.99364460033747&amp;z=17","открыть")</f>
        <v>открыть</v>
      </c>
      <c r="G209" s="2" t="str">
        <f>HYPERLINK("https://mediafasadomsk.com/surfaces/bb-frunze-ul-chetnaya-storona-sezd-na-ul-gospitalnaya-tc-flagman-a-900.jpg","смотреть")</f>
        <v>смотреть</v>
      </c>
      <c r="H209">
        <v>54.99364460033747</v>
      </c>
      <c r="I209">
        <v>73.37844903802889</v>
      </c>
    </row>
    <row r="210">
      <c r="A210">
        <v>209</v>
      </c>
      <c r="B210" t="inlineStr">
        <is>
          <t xml:space="preserve">Фрунзе (напротив дома 100 по улице Булатова)</t>
        </is>
      </c>
      <c r="C210" t="inlineStr">
        <is>
          <t xml:space="preserve">Билборд</t>
        </is>
      </c>
      <c r="D210" t="inlineStr">
        <is>
          <t xml:space="preserve">6×3</t>
        </is>
      </c>
      <c r="E210" t="inlineStr">
        <is>
          <t xml:space="preserve">A, B</t>
        </is>
      </c>
      <c r="F210" s="2" t="str">
        <f>HYPERLINK("https://yandex.ru/maps/?pt=73.37983,54.993765&amp;z=17","открыть")</f>
        <v>открыть</v>
      </c>
      <c r="G210" s="2" t="str">
        <f>HYPERLINK("https://mediafasadomsk.com/surfaces/bb-frunze-ul-naprotiv-d-100-po-ul-bulatova-a-900.jpg","смотреть")</f>
        <v>смотреть</v>
      </c>
      <c r="H210">
        <v>54.993765</v>
      </c>
      <c r="I210">
        <v>73.37983</v>
      </c>
    </row>
    <row r="211">
      <c r="A211">
        <v>210</v>
      </c>
      <c r="B211" t="inlineStr">
        <is>
          <t xml:space="preserve">Фрунзенский мост, съезд на Госпитальная</t>
        </is>
      </c>
      <c r="C211" t="inlineStr">
        <is>
          <t xml:space="preserve">Билборд</t>
        </is>
      </c>
      <c r="D211" t="inlineStr">
        <is>
          <t xml:space="preserve">6×3</t>
        </is>
      </c>
      <c r="E211" t="inlineStr">
        <is>
          <t xml:space="preserve">A, B</t>
        </is>
      </c>
      <c r="F211" s="2" t="str">
        <f>HYPERLINK("https://yandex.ru/maps/?pt=73.38110635876119,54.99281155327988&amp;z=17","открыть")</f>
        <v>открыть</v>
      </c>
      <c r="G211" s="2" t="str">
        <f>HYPERLINK("https://mediafasadomsk.com/surfaces/bb-frunzenskij-most-sezd-na-ul-gospitalnaya-a-900.jpg","смотреть")</f>
        <v>смотреть</v>
      </c>
      <c r="H211">
        <v>54.99281155327988</v>
      </c>
      <c r="I211">
        <v>73.38110635876119</v>
      </c>
    </row>
    <row r="212">
      <c r="A212">
        <v>211</v>
      </c>
      <c r="B212" t="inlineStr">
        <is>
          <t xml:space="preserve">Фрунзенский мост, съезд с улицы Тюменская (ТЦ «Триумф»)</t>
        </is>
      </c>
      <c r="C212" t="inlineStr">
        <is>
          <t xml:space="preserve">Билборд</t>
        </is>
      </c>
      <c r="D212" t="inlineStr">
        <is>
          <t xml:space="preserve">6×3</t>
        </is>
      </c>
      <c r="E212" t="inlineStr">
        <is>
          <t xml:space="preserve">A, B</t>
        </is>
      </c>
      <c r="F212" s="2" t="str">
        <f>HYPERLINK("https://yandex.ru/maps/?pt=73.3809005770403,54.992559838357955&amp;z=17","открыть")</f>
        <v>открыть</v>
      </c>
      <c r="G212" s="2" t="str">
        <f>HYPERLINK("https://mediafasadomsk.com/surfaces/bb-frunzenskij-most-sezd-s-ul-tyumenskaya-tc-triumf-a-900.jpg","смотреть")</f>
        <v>смотреть</v>
      </c>
      <c r="H212">
        <v>54.992559838357955</v>
      </c>
      <c r="I212">
        <v>73.3809005770403</v>
      </c>
    </row>
    <row r="213">
      <c r="A213">
        <v>212</v>
      </c>
      <c r="B213" t="inlineStr">
        <is>
          <t xml:space="preserve">Гагарина, 10</t>
        </is>
      </c>
      <c r="C213" t="inlineStr">
        <is>
          <t xml:space="preserve">Цифровой билборд</t>
        </is>
      </c>
      <c r="D213" t="inlineStr">
        <is>
          <t xml:space="preserve">6×3</t>
        </is>
      </c>
      <c r="E213" t="inlineStr">
        <is>
          <t xml:space="preserve">A1</t>
        </is>
      </c>
      <c r="F213" s="2" t="str">
        <f>HYPERLINK("https://yandex.ru/maps/?pt=73.37680000000027,54.987&amp;z=17","открыть")</f>
        <v>открыть</v>
      </c>
      <c r="G213" s="2" t="str">
        <f>HYPERLINK("https://mediafasadomsk.com/surfaces/bb-gagarina-ul-10-a-900.jpg","смотреть")</f>
        <v>смотреть</v>
      </c>
      <c r="H213">
        <v>54.987</v>
      </c>
      <c r="I213">
        <v>73.37680000000027</v>
      </c>
    </row>
    <row r="214">
      <c r="A214">
        <v>213</v>
      </c>
      <c r="B214" t="inlineStr">
        <is>
          <t xml:space="preserve">Гагарина, 10</t>
        </is>
      </c>
      <c r="C214" t="inlineStr">
        <is>
          <t xml:space="preserve">Призматрон</t>
        </is>
      </c>
      <c r="D214" t="inlineStr">
        <is>
          <t xml:space="preserve">6×3</t>
        </is>
      </c>
      <c r="E214" t="inlineStr">
        <is>
          <t xml:space="preserve">B1</t>
        </is>
      </c>
      <c r="F214" s="2" t="str">
        <f>HYPERLINK("https://yandex.ru/maps/?pt=73.37680000000027,54.987&amp;z=17","открыть")</f>
        <v>открыть</v>
      </c>
      <c r="G214" s="2" t="str">
        <f>HYPERLINK("https://mediafasadomsk.com/surfaces/bb-gagarina-ul-10-b1-a-900.jpg","смотреть")</f>
        <v>смотреть</v>
      </c>
      <c r="H214">
        <v>54.987</v>
      </c>
      <c r="I214">
        <v>73.37680000000027</v>
      </c>
    </row>
    <row r="215">
      <c r="A215">
        <v>214</v>
      </c>
      <c r="B215" t="inlineStr">
        <is>
          <t xml:space="preserve">Гагарина, 14, пересечение с улицей Карла Либкнехта</t>
        </is>
      </c>
      <c r="C215" t="inlineStr">
        <is>
          <t xml:space="preserve">Призматрон</t>
        </is>
      </c>
      <c r="D215" t="inlineStr">
        <is>
          <t xml:space="preserve">6×3</t>
        </is>
      </c>
      <c r="E215" t="inlineStr">
        <is>
          <t xml:space="preserve">A1, B1</t>
        </is>
      </c>
      <c r="F215" s="2" t="str">
        <f>HYPERLINK("https://yandex.ru/maps/?pt=73.37658810548548,54.98730579349558&amp;z=17","открыть")</f>
        <v>открыть</v>
      </c>
      <c r="G215" s="2" t="str">
        <f>HYPERLINK("https://mediafasadomsk.com/surfaces/bb-gagarina-ul-14-h-s-ul-karla-libknehta-a-900.jpg","смотреть")</f>
        <v>смотреть</v>
      </c>
      <c r="H215">
        <v>54.98730579349558</v>
      </c>
      <c r="I215">
        <v>73.37658810548548</v>
      </c>
    </row>
    <row r="216">
      <c r="A216">
        <v>215</v>
      </c>
      <c r="B216" t="inlineStr">
        <is>
          <t xml:space="preserve">Гагарина, 2</t>
        </is>
      </c>
      <c r="C216" t="inlineStr">
        <is>
          <t xml:space="preserve">Билборд</t>
        </is>
      </c>
      <c r="D216" t="inlineStr">
        <is>
          <t xml:space="preserve">6×3</t>
        </is>
      </c>
      <c r="E216" t="inlineStr">
        <is>
          <t xml:space="preserve">A, B</t>
        </is>
      </c>
      <c r="F216" s="2" t="str">
        <f>HYPERLINK("https://yandex.ru/maps/?pt=73.377579,54.986102&amp;z=17","открыть")</f>
        <v>открыть</v>
      </c>
      <c r="G216" s="2" t="str">
        <f>HYPERLINK("https://mediafasadomsk.com/surfaces/bb-gagarina-ul-2-a-900.jpg","смотреть")</f>
        <v>смотреть</v>
      </c>
      <c r="H216">
        <v>54.986102</v>
      </c>
      <c r="I216">
        <v>73.377579</v>
      </c>
    </row>
    <row r="217">
      <c r="A217">
        <v>216</v>
      </c>
      <c r="B217" t="inlineStr">
        <is>
          <t xml:space="preserve">Гагарина, 3 (до въезда на Комсомольский мост)</t>
        </is>
      </c>
      <c r="C217" t="inlineStr">
        <is>
          <t xml:space="preserve">Призматрон</t>
        </is>
      </c>
      <c r="D217" t="inlineStr">
        <is>
          <t xml:space="preserve">6×3</t>
        </is>
      </c>
      <c r="E217" t="inlineStr">
        <is>
          <t xml:space="preserve">A1</t>
        </is>
      </c>
      <c r="F217" s="2" t="str">
        <f>HYPERLINK("https://yandex.ru/maps/?pt=73.37750000000005,54.985499999999995&amp;z=17","открыть")</f>
        <v>открыть</v>
      </c>
      <c r="G217" s="2" t="str">
        <f>HYPERLINK("https://mediafasadomsk.com/surfaces/bb-gagarina-ul-3-do-vezda-na-komsomolskij-most-a-900.jpg","смотреть")</f>
        <v>смотреть</v>
      </c>
      <c r="H217">
        <v>54.985499999999995</v>
      </c>
      <c r="I217">
        <v>73.37750000000005</v>
      </c>
    </row>
    <row r="218">
      <c r="A218">
        <v>217</v>
      </c>
      <c r="B218" t="inlineStr">
        <is>
          <t xml:space="preserve">Гагарина, 3 (до въезда на Комсомольский мост)</t>
        </is>
      </c>
      <c r="C218" t="inlineStr">
        <is>
          <t xml:space="preserve">Билборд</t>
        </is>
      </c>
      <c r="D218" t="inlineStr">
        <is>
          <t xml:space="preserve">6×3</t>
        </is>
      </c>
      <c r="E218" t="inlineStr">
        <is>
          <t xml:space="preserve">B</t>
        </is>
      </c>
      <c r="F218" s="2" t="str">
        <f>HYPERLINK("https://yandex.ru/maps/?pt=73.37750000000005,54.985499999999995&amp;z=17","открыть")</f>
        <v>открыть</v>
      </c>
      <c r="G218" s="2" t="str">
        <f>HYPERLINK("https://mediafasadomsk.com/surfaces/bb-gagarina-ul-3-do-vezda-na-komsomolskij-most-b-a-900.jpg","смотреть")</f>
        <v>смотреть</v>
      </c>
      <c r="H218">
        <v>54.985499999999995</v>
      </c>
      <c r="I218">
        <v>73.37750000000005</v>
      </c>
    </row>
    <row r="219">
      <c r="A219">
        <v>218</v>
      </c>
      <c r="B219" t="inlineStr">
        <is>
          <t xml:space="preserve">Гагарина, 3 (въезд на Комсомольский мост)</t>
        </is>
      </c>
      <c r="C219" t="inlineStr">
        <is>
          <t xml:space="preserve">Билборд</t>
        </is>
      </c>
      <c r="D219" t="inlineStr">
        <is>
          <t xml:space="preserve">6×3</t>
        </is>
      </c>
      <c r="E219" t="inlineStr">
        <is>
          <t xml:space="preserve">A, B</t>
        </is>
      </c>
      <c r="F219" s="2" t="str">
        <f>HYPERLINK("https://yandex.ru/maps/?pt=73.37790000000015,54.984899999999996&amp;z=17","открыть")</f>
        <v>открыть</v>
      </c>
      <c r="G219" s="2" t="str">
        <f>HYPERLINK("https://mediafasadomsk.com/surfaces/bb-gagarina-ul-3-vezd-na-komsomolskij-most-a-900.jpg","смотреть")</f>
        <v>смотреть</v>
      </c>
      <c r="H219">
        <v>54.984899999999996</v>
      </c>
      <c r="I219">
        <v>73.37790000000015</v>
      </c>
    </row>
    <row r="220">
      <c r="A220">
        <v>219</v>
      </c>
      <c r="B220" t="inlineStr">
        <is>
          <t xml:space="preserve">Герцена, 198</t>
        </is>
      </c>
      <c r="C220" t="inlineStr">
        <is>
          <t xml:space="preserve">Билборд</t>
        </is>
      </c>
      <c r="D220" t="inlineStr">
        <is>
          <t xml:space="preserve">6×3</t>
        </is>
      </c>
      <c r="E220" t="inlineStr">
        <is>
          <t xml:space="preserve">A, B</t>
        </is>
      </c>
      <c r="F220" s="2" t="str">
        <f>HYPERLINK("https://yandex.ru/maps/?pt=73.37582,55.020173&amp;z=17","открыть")</f>
        <v>открыть</v>
      </c>
      <c r="G220" s="2" t="str">
        <f>HYPERLINK("https://mediafasadomsk.com/surfaces/bb-gercena-ul-198-a-900.jpg","смотреть")</f>
        <v>смотреть</v>
      </c>
      <c r="H220">
        <v>55.020173</v>
      </c>
      <c r="I220">
        <v>73.37582</v>
      </c>
    </row>
    <row r="221">
      <c r="A221">
        <v>220</v>
      </c>
      <c r="B221" t="inlineStr">
        <is>
          <t xml:space="preserve">Герцена, 232/1 (у пересечения с улицей 24-я Северная, светофор)</t>
        </is>
      </c>
      <c r="C221" t="inlineStr">
        <is>
          <t xml:space="preserve">Билборд</t>
        </is>
      </c>
      <c r="D221" t="inlineStr">
        <is>
          <t xml:space="preserve">6×3</t>
        </is>
      </c>
      <c r="E221" t="inlineStr">
        <is>
          <t xml:space="preserve">A, B</t>
        </is>
      </c>
      <c r="F221" s="2" t="str">
        <f>HYPERLINK("https://yandex.ru/maps/?pt=73.37630000000027,55.02380000000001&amp;z=17","открыть")</f>
        <v>открыть</v>
      </c>
      <c r="G221" s="2" t="str">
        <f>HYPERLINK("https://mediafasadomsk.com/surfaces/bb-gercena-ul-232-1-h-s-ul-severnaya-24-ya-svetofor-a-900.jpg","смотреть")</f>
        <v>смотреть</v>
      </c>
      <c r="H221">
        <v>55.02380000000001</v>
      </c>
      <c r="I221">
        <v>73.37630000000027</v>
      </c>
    </row>
    <row r="222">
      <c r="A222">
        <v>221</v>
      </c>
      <c r="B222" t="inlineStr">
        <is>
          <t xml:space="preserve">Герцена, 247</t>
        </is>
      </c>
      <c r="C222" t="inlineStr">
        <is>
          <t xml:space="preserve">Цифровой билборд</t>
        </is>
      </c>
      <c r="D222" t="inlineStr">
        <is>
          <t xml:space="preserve">6×3</t>
        </is>
      </c>
      <c r="E222" t="inlineStr">
        <is>
          <t xml:space="preserve">B</t>
        </is>
      </c>
      <c r="F222" s="2" t="str">
        <f>HYPERLINK("https://yandex.ru/maps/?pt=73.375937,55.023371&amp;z=17","открыть")</f>
        <v>открыть</v>
      </c>
      <c r="G222" s="2" t="str">
        <f>HYPERLINK("https://mediafasadomsk.com/surfaces/bb-gercena-ul-247-a-900.jpg","смотреть")</f>
        <v>смотреть</v>
      </c>
      <c r="H222">
        <v>55.023371</v>
      </c>
      <c r="I222">
        <v>73.375937</v>
      </c>
    </row>
    <row r="223">
      <c r="A223">
        <v>222</v>
      </c>
      <c r="B223" t="inlineStr">
        <is>
          <t xml:space="preserve">Герцена, напротив дома 31 (у пересечения с улицей Булатова, светофор)</t>
        </is>
      </c>
      <c r="C223" t="inlineStr">
        <is>
          <t xml:space="preserve">Цифровой билборд</t>
        </is>
      </c>
      <c r="D223" t="inlineStr">
        <is>
          <t xml:space="preserve">6×3</t>
        </is>
      </c>
      <c r="E223" t="inlineStr">
        <is>
          <t xml:space="preserve">A1, B1</t>
        </is>
      </c>
      <c r="F223" s="2" t="str">
        <f>HYPERLINK("https://yandex.ru/maps/?pt=73.37275177646313,54.99583567398872&amp;z=17","открыть")</f>
        <v>открыть</v>
      </c>
      <c r="G223" s="2" t="str">
        <f>HYPERLINK("https://mediafasadomsk.com/surfaces/bb-gercena-ul-31-naprotiv-h-s-ul-bulatova-svetofor-a-900.jpg","смотреть")</f>
        <v>смотреть</v>
      </c>
      <c r="H223">
        <v>54.99583567398872</v>
      </c>
      <c r="I223">
        <v>73.37275177646313</v>
      </c>
    </row>
    <row r="224">
      <c r="A224">
        <v>223</v>
      </c>
      <c r="B224" t="inlineStr">
        <is>
          <t xml:space="preserve">Герцена, 40 (светофор)</t>
        </is>
      </c>
      <c r="C224" t="inlineStr">
        <is>
          <t xml:space="preserve">Билборд</t>
        </is>
      </c>
      <c r="D224" t="inlineStr">
        <is>
          <t xml:space="preserve">6×3</t>
        </is>
      </c>
      <c r="E224" t="inlineStr">
        <is>
          <t xml:space="preserve">A, B</t>
        </is>
      </c>
      <c r="F224" s="2" t="str">
        <f>HYPERLINK("https://yandex.ru/maps/?pt=73.37309999999992,54.99799999999998&amp;z=17","открыть")</f>
        <v>открыть</v>
      </c>
      <c r="G224" s="2" t="str">
        <f>HYPERLINK("https://mediafasadomsk.com/surfaces/bb-gercena-ul-40-svetofor-a-900.jpg","смотреть")</f>
        <v>смотреть</v>
      </c>
      <c r="H224">
        <v>54.99799999999998</v>
      </c>
      <c r="I224">
        <v>73.37309999999992</v>
      </c>
    </row>
    <row r="225">
      <c r="A225">
        <v>224</v>
      </c>
      <c r="B225" t="inlineStr">
        <is>
          <t xml:space="preserve">Герцена, 44 (светофор)</t>
        </is>
      </c>
      <c r="C225" t="inlineStr">
        <is>
          <t xml:space="preserve">Билборд</t>
        </is>
      </c>
      <c r="D225" t="inlineStr">
        <is>
          <t xml:space="preserve">6×3</t>
        </is>
      </c>
      <c r="E225" t="inlineStr">
        <is>
          <t xml:space="preserve">A</t>
        </is>
      </c>
      <c r="F225" s="2" t="str">
        <f>HYPERLINK("https://yandex.ru/maps/?pt=73.37328900000013,54.999259&amp;z=17","открыть")</f>
        <v>открыть</v>
      </c>
      <c r="G225" s="2" t="str">
        <f>HYPERLINK("https://mediafasadomsk.com/surfaces/bb-gercena-ul-44-svetofor-a-900.jpg","смотреть")</f>
        <v>смотреть</v>
      </c>
      <c r="H225">
        <v>54.999259</v>
      </c>
      <c r="I225">
        <v>73.37328900000013</v>
      </c>
    </row>
    <row r="226">
      <c r="A226">
        <v>225</v>
      </c>
      <c r="B226" t="inlineStr">
        <is>
          <t xml:space="preserve">Герцена, 44 (светофор)</t>
        </is>
      </c>
      <c r="C226" t="inlineStr">
        <is>
          <t xml:space="preserve">Призматрон</t>
        </is>
      </c>
      <c r="D226" t="inlineStr">
        <is>
          <t xml:space="preserve">6×3</t>
        </is>
      </c>
      <c r="E226" t="inlineStr">
        <is>
          <t xml:space="preserve">B1</t>
        </is>
      </c>
      <c r="F226" s="2" t="str">
        <f>HYPERLINK("https://yandex.ru/maps/?pt=73.37328900000013,54.999259&amp;z=17","открыть")</f>
        <v>открыть</v>
      </c>
      <c r="G226" s="2" t="str">
        <f>HYPERLINK("https://mediafasadomsk.com/surfaces/bb-gercena-ul-44-svetofor-b1-a-900.jpg","смотреть")</f>
        <v>смотреть</v>
      </c>
      <c r="H226">
        <v>54.999259</v>
      </c>
      <c r="I226">
        <v>73.37328900000013</v>
      </c>
    </row>
    <row r="227">
      <c r="A227">
        <v>226</v>
      </c>
      <c r="B227" t="inlineStr">
        <is>
          <t xml:space="preserve">Герцена, 46 (у пересечения с улицей Октябрьская, светофор)</t>
        </is>
      </c>
      <c r="C227" t="inlineStr">
        <is>
          <t xml:space="preserve">Билборд</t>
        </is>
      </c>
      <c r="D227" t="inlineStr">
        <is>
          <t xml:space="preserve">6×3</t>
        </is>
      </c>
      <c r="E227" t="inlineStr">
        <is>
          <t xml:space="preserve">A, B</t>
        </is>
      </c>
      <c r="F227" s="2" t="str">
        <f>HYPERLINK("https://yandex.ru/maps/?pt=73.37330000000027,55.000199999999985&amp;z=17","открыть")</f>
        <v>открыть</v>
      </c>
      <c r="G227" s="2" t="str">
        <f>HYPERLINK("https://mediafasadomsk.com/surfaces/bb-gercena-ul-46-h-s-ul-oktyabrskaya-svetofor-a-900.jpg","смотреть")</f>
        <v>смотреть</v>
      </c>
      <c r="H227">
        <v>55.000199999999985</v>
      </c>
      <c r="I227">
        <v>73.37330000000027</v>
      </c>
    </row>
    <row r="228">
      <c r="A228">
        <v>227</v>
      </c>
      <c r="B228" t="inlineStr">
        <is>
          <t xml:space="preserve">Герцена, 60</t>
        </is>
      </c>
      <c r="C228" t="inlineStr">
        <is>
          <t xml:space="preserve">Билборд</t>
        </is>
      </c>
      <c r="D228" t="inlineStr">
        <is>
          <t xml:space="preserve">6×3</t>
        </is>
      </c>
      <c r="E228" t="inlineStr">
        <is>
          <t xml:space="preserve">A, B</t>
        </is>
      </c>
      <c r="F228" s="2" t="str">
        <f>HYPERLINK("https://yandex.ru/maps/?pt=73.37390000000016,55.0045&amp;z=17","открыть")</f>
        <v>открыть</v>
      </c>
      <c r="G228" s="2" t="str">
        <f>HYPERLINK("https://mediafasadomsk.com/surfaces/bb-gercena-ul-60-a-900.jpg","смотреть")</f>
        <v>смотреть</v>
      </c>
      <c r="H228">
        <v>55.0045</v>
      </c>
      <c r="I228">
        <v>73.37390000000016</v>
      </c>
    </row>
    <row r="229">
      <c r="A229">
        <v>228</v>
      </c>
      <c r="B229" t="inlineStr">
        <is>
          <t xml:space="preserve">Герцена, 65 (у пересечения с улицей Октябрьская, светофор)</t>
        </is>
      </c>
      <c r="C229" t="inlineStr">
        <is>
          <t xml:space="preserve">Цифровой билборд</t>
        </is>
      </c>
      <c r="D229" t="inlineStr">
        <is>
          <t xml:space="preserve">6×3</t>
        </is>
      </c>
      <c r="E229" t="inlineStr">
        <is>
          <t xml:space="preserve">A1</t>
        </is>
      </c>
      <c r="F229" s="2" t="str">
        <f>HYPERLINK("https://yandex.ru/maps/?pt=73.37307346034103,55.00020796050777&amp;z=17","открыть")</f>
        <v>открыть</v>
      </c>
      <c r="G229" s="2" t="str">
        <f>HYPERLINK("https://mediafasadomsk.com/surfaces/bb-gercena-ul-65-h-s-ul-oktyabrskaya-svetofor-a-900.jpg","смотреть")</f>
        <v>смотреть</v>
      </c>
      <c r="H229">
        <v>55.00020796050777</v>
      </c>
      <c r="I229">
        <v>73.37307346034103</v>
      </c>
    </row>
    <row r="230">
      <c r="A230">
        <v>229</v>
      </c>
      <c r="B230" t="inlineStr">
        <is>
          <t xml:space="preserve">Герцена, 75</t>
        </is>
      </c>
      <c r="C230" t="inlineStr">
        <is>
          <t xml:space="preserve">Цифровой билборд</t>
        </is>
      </c>
      <c r="D230" t="inlineStr">
        <is>
          <t xml:space="preserve">6×3</t>
        </is>
      </c>
      <c r="E230" t="inlineStr">
        <is>
          <t xml:space="preserve">A1, B1</t>
        </is>
      </c>
      <c r="F230" s="2" t="str">
        <f>HYPERLINK("https://yandex.ru/maps/?pt=73.37328699999985,55.00253899999998&amp;z=17","открыть")</f>
        <v>открыть</v>
      </c>
      <c r="G230" s="2" t="str">
        <f>HYPERLINK("https://mediafasadomsk.com/surfaces/bb-gercena-ul-75-a-900.jpg","смотреть")</f>
        <v>смотреть</v>
      </c>
      <c r="H230">
        <v>55.00253899999998</v>
      </c>
      <c r="I230">
        <v>73.37328699999985</v>
      </c>
    </row>
    <row r="231">
      <c r="A231">
        <v>230</v>
      </c>
      <c r="B231" t="inlineStr">
        <is>
          <t xml:space="preserve">Герцена, 92 (у пересечения с улицей 7-я Северная, светофор)</t>
        </is>
      </c>
      <c r="C231" t="inlineStr">
        <is>
          <t xml:space="preserve">Билборд</t>
        </is>
      </c>
      <c r="D231" t="inlineStr">
        <is>
          <t xml:space="preserve">6×3</t>
        </is>
      </c>
      <c r="E231" t="inlineStr">
        <is>
          <t xml:space="preserve">A, B</t>
        </is>
      </c>
      <c r="F231" s="2" t="str">
        <f>HYPERLINK("https://yandex.ru/maps/?pt=73.37432722950034,55.00862465426519&amp;z=17","открыть")</f>
        <v>открыть</v>
      </c>
      <c r="G231" s="2" t="str">
        <f>HYPERLINK("https://mediafasadomsk.com/surfaces/bb-gercena-ul-92-h-s-ul-severnaya-7-ya-svetofor-a-900.jpg","смотреть")</f>
        <v>смотреть</v>
      </c>
      <c r="H231">
        <v>55.00862465426519</v>
      </c>
      <c r="I231">
        <v>73.37432722950034</v>
      </c>
    </row>
    <row r="232">
      <c r="A232">
        <v>231</v>
      </c>
      <c r="B232" t="inlineStr">
        <is>
          <t xml:space="preserve">Герцена, 94 (у пересечения с улицей 7-я Северная, светофор)</t>
        </is>
      </c>
      <c r="C232" t="inlineStr">
        <is>
          <t xml:space="preserve">Призматрон</t>
        </is>
      </c>
      <c r="D232" t="inlineStr">
        <is>
          <t xml:space="preserve">6×3</t>
        </is>
      </c>
      <c r="E232" t="inlineStr">
        <is>
          <t xml:space="preserve">A1</t>
        </is>
      </c>
      <c r="F232" s="2" t="str">
        <f>HYPERLINK("https://yandex.ru/maps/?pt=73.37449352645932,55.00898149838294&amp;z=17","открыть")</f>
        <v>открыть</v>
      </c>
      <c r="G232" s="2" t="str">
        <f>HYPERLINK("https://mediafasadomsk.com/surfaces/bb-gercena-ul-94-h-s-ul-severnaya-7-ya-svetofor-a-900.jpg","смотреть")</f>
        <v>смотреть</v>
      </c>
      <c r="H232">
        <v>55.00898149838294</v>
      </c>
      <c r="I232">
        <v>73.37449352645932</v>
      </c>
    </row>
    <row r="233">
      <c r="A233">
        <v>232</v>
      </c>
      <c r="B233" t="inlineStr">
        <is>
          <t xml:space="preserve">Госпитальная, 19</t>
        </is>
      </c>
      <c r="C233" t="inlineStr">
        <is>
          <t xml:space="preserve">Билборд</t>
        </is>
      </c>
      <c r="D233" t="inlineStr">
        <is>
          <t xml:space="preserve">6×3</t>
        </is>
      </c>
      <c r="E233" t="inlineStr">
        <is>
          <t xml:space="preserve">A, B</t>
        </is>
      </c>
      <c r="F233" s="2" t="str">
        <f>HYPERLINK("https://yandex.ru/maps/?pt=73.3823,54.995097&amp;z=17","открыть")</f>
        <v>открыть</v>
      </c>
      <c r="G233" s="2" t="str">
        <f>HYPERLINK("https://mediafasadomsk.com/surfaces/bb-gospitalnaya-ul-19-a-900.jpg","смотреть")</f>
        <v>смотреть</v>
      </c>
      <c r="H233">
        <v>54.995097</v>
      </c>
      <c r="I233">
        <v>73.3823</v>
      </c>
    </row>
    <row r="234">
      <c r="A234">
        <v>233</v>
      </c>
      <c r="B234" t="inlineStr">
        <is>
          <t xml:space="preserve">Пересечение Булатова и Госпитальной (дом 105/1)</t>
        </is>
      </c>
      <c r="C234" t="inlineStr">
        <is>
          <t xml:space="preserve">Билборд</t>
        </is>
      </c>
      <c r="D234" t="inlineStr">
        <is>
          <t xml:space="preserve">6×3</t>
        </is>
      </c>
      <c r="E234" t="inlineStr">
        <is>
          <t xml:space="preserve">A, B</t>
        </is>
      </c>
      <c r="F234" s="2" t="str">
        <f>HYPERLINK("https://yandex.ru/maps/?pt=73.380844,54.993659&amp;z=17","открыть")</f>
        <v>открыть</v>
      </c>
      <c r="G234" s="2" t="str">
        <f>HYPERLINK("https://mediafasadomsk.com/surfaces/bb-gospitalnaya-ul-bulatova-ul-105-1-a-900.jpg","смотреть")</f>
        <v>смотреть</v>
      </c>
      <c r="H234">
        <v>54.993659</v>
      </c>
      <c r="I234">
        <v>73.380844</v>
      </c>
    </row>
    <row r="235">
      <c r="A235">
        <v>234</v>
      </c>
      <c r="B235" t="inlineStr">
        <is>
          <t xml:space="preserve">Гусарова, 2 (у пересечения с улицей Интернациональная, ТЦ «Омский»)</t>
        </is>
      </c>
      <c r="C235" t="inlineStr">
        <is>
          <t xml:space="preserve">Билборд</t>
        </is>
      </c>
      <c r="D235" t="inlineStr">
        <is>
          <t xml:space="preserve">6×3</t>
        </is>
      </c>
      <c r="E235" t="inlineStr">
        <is>
          <t xml:space="preserve">B</t>
        </is>
      </c>
      <c r="F235" s="2" t="str">
        <f>HYPERLINK("https://yandex.ru/maps/?pt=73.37410829444293,54.99142987065315&amp;z=17","открыть")</f>
        <v>открыть</v>
      </c>
      <c r="G235" s="2" t="str">
        <f>HYPERLINK("https://mediafasadomsk.com/surfaces/bb-gusarova-ul-2-h-s-ul-internacionalnaya-tc-omskij-a-900.jpg","смотреть")</f>
        <v>смотреть</v>
      </c>
      <c r="H235">
        <v>54.99142987065315</v>
      </c>
      <c r="I235">
        <v>73.37410829444293</v>
      </c>
    </row>
    <row r="236">
      <c r="A236">
        <v>235</v>
      </c>
      <c r="B236" t="inlineStr">
        <is>
          <t xml:space="preserve">Гусарова, 30</t>
        </is>
      </c>
      <c r="C236" t="inlineStr">
        <is>
          <t xml:space="preserve">Билборд</t>
        </is>
      </c>
      <c r="D236" t="inlineStr">
        <is>
          <t xml:space="preserve">6×3</t>
        </is>
      </c>
      <c r="E236" t="inlineStr">
        <is>
          <t xml:space="preserve">A, B</t>
        </is>
      </c>
      <c r="F236" s="2" t="str">
        <f>HYPERLINK("https://yandex.ru/maps/?pt=73.37966501712772,54.99661042050956&amp;z=17","открыть")</f>
        <v>открыть</v>
      </c>
      <c r="G236" s="2" t="str">
        <f>HYPERLINK("https://mediafasadomsk.com/surfaces/bb-gusarova-ul-30-a-900.jpg","смотреть")</f>
        <v>смотреть</v>
      </c>
      <c r="H236">
        <v>54.99661042050956</v>
      </c>
      <c r="I236">
        <v>73.37966501712772</v>
      </c>
    </row>
    <row r="237">
      <c r="A237">
        <v>236</v>
      </c>
      <c r="B237" t="inlineStr">
        <is>
          <t xml:space="preserve">Гусарова, 4/1 (у пересечения с улицей Фрунзе, светофор, ТЦ «Омский»)</t>
        </is>
      </c>
      <c r="C237" t="inlineStr">
        <is>
          <t xml:space="preserve">Билборд</t>
        </is>
      </c>
      <c r="D237" t="inlineStr">
        <is>
          <t xml:space="preserve">6×3</t>
        </is>
      </c>
      <c r="E237" t="inlineStr">
        <is>
          <t xml:space="preserve">A, B</t>
        </is>
      </c>
      <c r="F237" s="2" t="str">
        <f>HYPERLINK("https://yandex.ru/maps/?pt=73.37668857951513,54.993848815980215&amp;z=17","открыть")</f>
        <v>открыть</v>
      </c>
      <c r="G237" s="2" t="str">
        <f>HYPERLINK("https://mediafasadomsk.com/surfaces/bb-gusarova-ul-4k1-h-s-ul-frunze-svetofor-tc-omskij-a-900.jpg","смотреть")</f>
        <v>смотреть</v>
      </c>
      <c r="H237">
        <v>54.993848815980215</v>
      </c>
      <c r="I237">
        <v>73.37668857951513</v>
      </c>
    </row>
    <row r="238">
      <c r="A238">
        <v>237</v>
      </c>
      <c r="B238" t="inlineStr">
        <is>
          <t xml:space="preserve">Пересечение Гусарова и Интернациональной (напротив дома 43)</t>
        </is>
      </c>
      <c r="C238" t="inlineStr">
        <is>
          <t xml:space="preserve">Цифровой билборд</t>
        </is>
      </c>
      <c r="D238" t="inlineStr">
        <is>
          <t xml:space="preserve">6×3</t>
        </is>
      </c>
      <c r="E238" t="inlineStr">
        <is>
          <t xml:space="preserve">A</t>
        </is>
      </c>
      <c r="F238" s="2" t="str">
        <f>HYPERLINK("https://yandex.ru/maps/?pt=73.37455,54.991819&amp;z=17","открыть")</f>
        <v>открыть</v>
      </c>
      <c r="G238" s="2" t="str">
        <f>HYPERLINK("https://mediafasadomsk.com/surfaces/bb-gusarova-ul-internacionalnaya-ul-43-naprotiv-a-900.jpg","смотреть")</f>
        <v>смотреть</v>
      </c>
      <c r="H238">
        <v>54.991819</v>
      </c>
      <c r="I238">
        <v>73.37455</v>
      </c>
    </row>
    <row r="239">
      <c r="A239">
        <v>238</v>
      </c>
      <c r="B239" t="inlineStr">
        <is>
          <t xml:space="preserve">Пересечение Гусарова и Интернациональной (напротив дома 43)</t>
        </is>
      </c>
      <c r="C239" t="inlineStr">
        <is>
          <t xml:space="preserve">Билборд</t>
        </is>
      </c>
      <c r="D239" t="inlineStr">
        <is>
          <t xml:space="preserve">6×3</t>
        </is>
      </c>
      <c r="E239" t="inlineStr">
        <is>
          <t xml:space="preserve">B</t>
        </is>
      </c>
      <c r="F239" s="2" t="str">
        <f>HYPERLINK("https://yandex.ru/maps/?pt=73.37455,54.991819&amp;z=17","открыть")</f>
        <v>открыть</v>
      </c>
      <c r="G239" s="2" t="str">
        <f>HYPERLINK("https://mediafasadomsk.com/surfaces/bb-gusarova-ul-internacionalnaya-ul-43-naprotiv-b-a-900.jpg","смотреть")</f>
        <v>смотреть</v>
      </c>
      <c r="H239">
        <v>54.991819</v>
      </c>
      <c r="I239">
        <v>73.37455</v>
      </c>
    </row>
    <row r="240">
      <c r="A240">
        <v>239</v>
      </c>
      <c r="B240" t="inlineStr">
        <is>
          <t xml:space="preserve">Хабаровская, напротив дома 2</t>
        </is>
      </c>
      <c r="C240" t="inlineStr">
        <is>
          <t xml:space="preserve">Билборд</t>
        </is>
      </c>
      <c r="D240" t="inlineStr">
        <is>
          <t xml:space="preserve">6×3</t>
        </is>
      </c>
      <c r="E240" t="inlineStr">
        <is>
          <t xml:space="preserve">A, B</t>
        </is>
      </c>
      <c r="F240" s="2" t="str">
        <f>HYPERLINK("https://yandex.ru/maps/?pt=73.409734,54.944784&amp;z=17","открыть")</f>
        <v>открыть</v>
      </c>
      <c r="G240" s="2" t="str">
        <f>HYPERLINK("https://mediafasadomsk.com/surfaces/bb-habarovskaya-ul-2-naprotiv-a-900.jpg","смотреть")</f>
        <v>смотреть</v>
      </c>
      <c r="H240">
        <v>54.944784</v>
      </c>
      <c r="I240">
        <v>73.409734</v>
      </c>
    </row>
    <row r="241">
      <c r="A241">
        <v>240</v>
      </c>
      <c r="B241" t="inlineStr">
        <is>
          <t xml:space="preserve">Химиков, 12 (светофор)</t>
        </is>
      </c>
      <c r="C241" t="inlineStr">
        <is>
          <t xml:space="preserve">Билборд</t>
        </is>
      </c>
      <c r="D241" t="inlineStr">
        <is>
          <t xml:space="preserve">6×3</t>
        </is>
      </c>
      <c r="E241" t="inlineStr">
        <is>
          <t xml:space="preserve">A, B</t>
        </is>
      </c>
      <c r="F241" s="2" t="str">
        <f>HYPERLINK("https://yandex.ru/maps/?pt=73.28967393617636,55.03626146286167&amp;z=17","открыть")</f>
        <v>открыть</v>
      </c>
      <c r="G241" s="2" t="str">
        <f>HYPERLINK("https://mediafasadomsk.com/surfaces/bb-himikov-ul-12-svetofor-a-900.jpg","смотреть")</f>
        <v>смотреть</v>
      </c>
      <c r="H241">
        <v>55.03626146286167</v>
      </c>
      <c r="I241">
        <v>73.28967393617636</v>
      </c>
    </row>
    <row r="242">
      <c r="A242">
        <v>241</v>
      </c>
      <c r="B242" t="inlineStr">
        <is>
          <t xml:space="preserve">Химиков, 16</t>
        </is>
      </c>
      <c r="C242" t="inlineStr">
        <is>
          <t xml:space="preserve">Билборд</t>
        </is>
      </c>
      <c r="D242" t="inlineStr">
        <is>
          <t xml:space="preserve">6×3</t>
        </is>
      </c>
      <c r="E242" t="inlineStr">
        <is>
          <t xml:space="preserve">A, B</t>
        </is>
      </c>
      <c r="F242" s="2" t="str">
        <f>HYPERLINK("https://yandex.ru/maps/?pt=73.2909711974137,55.03824111065962&amp;z=17","открыть")</f>
        <v>открыть</v>
      </c>
      <c r="G242" s="2" t="str">
        <f>HYPERLINK("https://mediafasadomsk.com/surfaces/bb-himikov-ul-16-a-900.jpg","смотреть")</f>
        <v>смотреть</v>
      </c>
      <c r="H242">
        <v>55.03824111065962</v>
      </c>
      <c r="I242">
        <v>73.2909711974137</v>
      </c>
    </row>
    <row r="243">
      <c r="A243">
        <v>242</v>
      </c>
      <c r="B243" t="inlineStr">
        <is>
          <t xml:space="preserve">Химиков, 27/2</t>
        </is>
      </c>
      <c r="C243" t="inlineStr">
        <is>
          <t xml:space="preserve">Билборд</t>
        </is>
      </c>
      <c r="D243" t="inlineStr">
        <is>
          <t xml:space="preserve">6×3</t>
        </is>
      </c>
      <c r="E243" t="inlineStr">
        <is>
          <t xml:space="preserve">A, B</t>
        </is>
      </c>
      <c r="F243" s="2" t="str">
        <f>HYPERLINK("https://yandex.ru/maps/?pt=73.288089,55.034697&amp;z=17","открыть")</f>
        <v>открыть</v>
      </c>
      <c r="G243" s="2" t="str">
        <f>HYPERLINK("https://mediafasadomsk.com/surfaces/bb-himikov-ul-27-2-a-900.jpg","смотреть")</f>
        <v>смотреть</v>
      </c>
      <c r="H243">
        <v>55.034697</v>
      </c>
      <c r="I243">
        <v>73.288089</v>
      </c>
    </row>
    <row r="244">
      <c r="A244">
        <v>243</v>
      </c>
      <c r="B244" t="inlineStr">
        <is>
          <t xml:space="preserve">Химиков, 36 (светофор)</t>
        </is>
      </c>
      <c r="C244" t="inlineStr">
        <is>
          <t xml:space="preserve">Билборд</t>
        </is>
      </c>
      <c r="D244" t="inlineStr">
        <is>
          <t xml:space="preserve">6×3</t>
        </is>
      </c>
      <c r="E244" t="inlineStr">
        <is>
          <t xml:space="preserve">A, B</t>
        </is>
      </c>
      <c r="F244" s="2" t="str">
        <f>HYPERLINK("https://yandex.ru/maps/?pt=73.29506279992987,55.044963778241616&amp;z=17","открыть")</f>
        <v>открыть</v>
      </c>
      <c r="G244" s="2" t="str">
        <f>HYPERLINK("https://mediafasadomsk.com/surfaces/bb-himikov-ul-36-svetofor-a-900.jpg","смотреть")</f>
        <v>смотреть</v>
      </c>
      <c r="H244">
        <v>55.044963778241616</v>
      </c>
      <c r="I244">
        <v>73.29506279992987</v>
      </c>
    </row>
    <row r="245">
      <c r="A245">
        <v>244</v>
      </c>
      <c r="B245" t="inlineStr">
        <is>
          <t xml:space="preserve">Химиков, 38, до пересечения с проспектом Менделеева (светофор)</t>
        </is>
      </c>
      <c r="C245" t="inlineStr">
        <is>
          <t xml:space="preserve">Билборд</t>
        </is>
      </c>
      <c r="D245" t="inlineStr">
        <is>
          <t xml:space="preserve">6×3</t>
        </is>
      </c>
      <c r="E245" t="inlineStr">
        <is>
          <t xml:space="preserve">A, B</t>
        </is>
      </c>
      <c r="F245" s="2" t="str">
        <f>HYPERLINK("https://yandex.ru/maps/?pt=73.29652190237263,55.047254674416095&amp;z=17","открыть")</f>
        <v>открыть</v>
      </c>
      <c r="G245" s="2" t="str">
        <f>HYPERLINK("https://mediafasadomsk.com/surfaces/bb-himikov-ul-38-do-h-s-prospektom-mendeleeva-svetofor-a-900.jpg","смотреть")</f>
        <v>смотреть</v>
      </c>
      <c r="H245">
        <v>55.047254674416095</v>
      </c>
      <c r="I245">
        <v>73.29652190237263</v>
      </c>
    </row>
    <row r="246">
      <c r="A246">
        <v>245</v>
      </c>
      <c r="B246" t="inlineStr">
        <is>
          <t xml:space="preserve">Химиков, 40</t>
        </is>
      </c>
      <c r="C246" t="inlineStr">
        <is>
          <t xml:space="preserve">Билборд</t>
        </is>
      </c>
      <c r="D246" t="inlineStr">
        <is>
          <t xml:space="preserve">6×3</t>
        </is>
      </c>
      <c r="E246" t="inlineStr">
        <is>
          <t xml:space="preserve">A, B</t>
        </is>
      </c>
      <c r="F246" s="2" t="str">
        <f>HYPERLINK("https://yandex.ru/maps/?pt=73.298318,55.0498&amp;z=17","открыть")</f>
        <v>открыть</v>
      </c>
      <c r="G246" s="2" t="str">
        <f>HYPERLINK("https://mediafasadomsk.com/surfaces/bb-himikov-ul-40-a-900.jpg","смотреть")</f>
        <v>смотреть</v>
      </c>
      <c r="H246">
        <v>55.0498</v>
      </c>
      <c r="I246">
        <v>73.298318</v>
      </c>
    </row>
    <row r="247">
      <c r="A247">
        <v>246</v>
      </c>
      <c r="B247" t="inlineStr">
        <is>
          <t xml:space="preserve">Химиков, 57-61, на съезде на улицу 22 Апреля (светофор)</t>
        </is>
      </c>
      <c r="C247" t="inlineStr">
        <is>
          <t xml:space="preserve">Билборд</t>
        </is>
      </c>
      <c r="D247" t="inlineStr">
        <is>
          <t xml:space="preserve">6×3</t>
        </is>
      </c>
      <c r="E247" t="inlineStr">
        <is>
          <t xml:space="preserve">A1</t>
        </is>
      </c>
      <c r="F247" s="2" t="str">
        <f>HYPERLINK("https://yandex.ru/maps/?pt=73.2931235428028,55.04238323902631&amp;z=17","открыть")</f>
        <v>открыть</v>
      </c>
      <c r="G247" s="2" t="str">
        <f>HYPERLINK("https://mediafasadomsk.com/surfaces/bb-himikov-ul-57-61-na-sezde-na-ul-22-aprelya-svetofor-a-900.jpg","смотреть")</f>
        <v>смотреть</v>
      </c>
      <c r="H247">
        <v>55.04238323902631</v>
      </c>
      <c r="I247">
        <v>73.2931235428028</v>
      </c>
    </row>
    <row r="248">
      <c r="A248">
        <v>247</v>
      </c>
      <c r="B248" t="inlineStr">
        <is>
          <t xml:space="preserve">Химиков, 57, пересечение на съезде с улицы 22 Апреля (светофор), позиция 1</t>
        </is>
      </c>
      <c r="C248" t="inlineStr">
        <is>
          <t xml:space="preserve">Цифровой билборд</t>
        </is>
      </c>
      <c r="D248" t="inlineStr">
        <is>
          <t xml:space="preserve">6×3</t>
        </is>
      </c>
      <c r="E248" t="inlineStr">
        <is>
          <t xml:space="preserve">A1</t>
        </is>
      </c>
      <c r="F248" s="2" t="str">
        <f>HYPERLINK("https://yandex.ru/maps/?pt=73.29249999999978,55.041900000000005&amp;z=17","открыть")</f>
        <v>открыть</v>
      </c>
      <c r="G248" s="2" t="str">
        <f>HYPERLINK("https://mediafasadomsk.com/surfaces/bb-himikov-ul-57-h-na-sezde-s-ul-22-aprelya-svetofor-poz-1-a-900.jpg","смотреть")</f>
        <v>смотреть</v>
      </c>
      <c r="H248">
        <v>55.041900000000005</v>
      </c>
      <c r="I248">
        <v>73.29249999999978</v>
      </c>
    </row>
    <row r="249">
      <c r="A249">
        <v>248</v>
      </c>
      <c r="B249" t="inlineStr">
        <is>
          <t xml:space="preserve">Химиков, 57, пересечение на съезде с улицы 22 Апреля (светофор), позиция 2</t>
        </is>
      </c>
      <c r="C249" t="inlineStr">
        <is>
          <t xml:space="preserve">Билборд</t>
        </is>
      </c>
      <c r="D249" t="inlineStr">
        <is>
          <t xml:space="preserve">6×3</t>
        </is>
      </c>
      <c r="E249" t="inlineStr">
        <is>
          <t xml:space="preserve">A</t>
        </is>
      </c>
      <c r="F249" s="2" t="str">
        <f>HYPERLINK("https://yandex.ru/maps/?pt=73.29217940522985,55.04202668168431&amp;z=17","открыть")</f>
        <v>открыть</v>
      </c>
      <c r="G249" s="2" t="str">
        <f>HYPERLINK("https://mediafasadomsk.com/surfaces/bb-himikov-ul-57-h-na-sezde-s-ul-22-aprelya-svetofor-poz-2-a-900.jpg","смотреть")</f>
        <v>смотреть</v>
      </c>
      <c r="H249">
        <v>55.04202668168431</v>
      </c>
      <c r="I249">
        <v>73.29217940522985</v>
      </c>
    </row>
    <row r="250">
      <c r="A250">
        <v>249</v>
      </c>
      <c r="B250" t="inlineStr">
        <is>
          <t xml:space="preserve">Химиков, 71/1 (у пересечения с улицей Энтузиастов, светофор)</t>
        </is>
      </c>
      <c r="C250" t="inlineStr">
        <is>
          <t xml:space="preserve">Цифровой билборд</t>
        </is>
      </c>
      <c r="D250" t="inlineStr">
        <is>
          <t xml:space="preserve">6×3</t>
        </is>
      </c>
      <c r="E250" t="inlineStr">
        <is>
          <t xml:space="preserve">A1</t>
        </is>
      </c>
      <c r="F250" s="2" t="str">
        <f>HYPERLINK("https://yandex.ru/maps/?pt=73.29644143610253,55.047522048852215&amp;z=17","открыть")</f>
        <v>открыть</v>
      </c>
      <c r="G250" s="2" t="str">
        <f>HYPERLINK("https://mediafasadomsk.com/surfaces/bb-himikov-ul-71-1-h-s-ul-entuziastov-svetofor-a-900.jpg","смотреть")</f>
        <v>смотреть</v>
      </c>
      <c r="H250">
        <v>55.047522048852215</v>
      </c>
      <c r="I250">
        <v>73.29644143610253</v>
      </c>
    </row>
    <row r="251">
      <c r="A251">
        <v>250</v>
      </c>
      <c r="B251" t="inlineStr">
        <is>
          <t xml:space="preserve">Химиков, напротив дома 71/1, после пересечения с проспектом Менделеева (светофор)</t>
        </is>
      </c>
      <c r="C251" t="inlineStr">
        <is>
          <t xml:space="preserve">Билборд</t>
        </is>
      </c>
      <c r="D251" t="inlineStr">
        <is>
          <t xml:space="preserve">6×3</t>
        </is>
      </c>
      <c r="E251" t="inlineStr">
        <is>
          <t xml:space="preserve">A, B</t>
        </is>
      </c>
      <c r="F251" s="2" t="str">
        <f>HYPERLINK("https://yandex.ru/maps/?pt=73.29690814047139,55.04787240190829&amp;z=17","открыть")</f>
        <v>открыть</v>
      </c>
      <c r="G251" s="2" t="str">
        <f>HYPERLINK("https://mediafasadomsk.com/surfaces/bb-himikov-ul-71-1-naprotiv-posle-h-s-prospektom-mendeleeva-svetofor-a-900.jpg","смотреть")</f>
        <v>смотреть</v>
      </c>
      <c r="H251">
        <v>55.04787240190829</v>
      </c>
      <c r="I251">
        <v>73.29690814047139</v>
      </c>
    </row>
    <row r="252">
      <c r="A252">
        <v>251</v>
      </c>
      <c r="B252" t="inlineStr">
        <is>
          <t xml:space="preserve">Интернациональная, 41 (у пересечения с улицей Герцена, светофор, ТЦ «Омский»)</t>
        </is>
      </c>
      <c r="C252" t="inlineStr">
        <is>
          <t xml:space="preserve">Цифровой ситиборд</t>
        </is>
      </c>
      <c r="D252" t="inlineStr">
        <is>
          <t xml:space="preserve">3,7×2,7</t>
        </is>
      </c>
      <c r="E252" t="inlineStr">
        <is>
          <t xml:space="preserve">A1</t>
        </is>
      </c>
      <c r="F252" s="2" t="str">
        <f>HYPERLINK("https://yandex.ru/maps/?pt=73.37190000000015,54.99120000000001&amp;z=17","открыть")</f>
        <v>открыть</v>
      </c>
      <c r="G252" s="2" t="str">
        <f>HYPERLINK("https://mediafasadomsk.com/surfaces/bb-internacionalnaya-ul-41-h-s-ul-gercena-svetofor-tc-omskij-a-900.jpg","смотреть")</f>
        <v>смотреть</v>
      </c>
      <c r="H252">
        <v>54.99120000000001</v>
      </c>
      <c r="I252">
        <v>73.37190000000015</v>
      </c>
    </row>
    <row r="253">
      <c r="A253">
        <v>252</v>
      </c>
      <c r="B253" t="inlineStr">
        <is>
          <t xml:space="preserve">Интернациональная, 41 (у пересечения с улицей Герцена, светофор, ТЦ «Омский»)</t>
        </is>
      </c>
      <c r="C253" t="inlineStr">
        <is>
          <t xml:space="preserve">Ситиборд</t>
        </is>
      </c>
      <c r="D253" t="inlineStr">
        <is>
          <t xml:space="preserve">3,7×2,7</t>
        </is>
      </c>
      <c r="E253" t="inlineStr">
        <is>
          <t xml:space="preserve">A</t>
        </is>
      </c>
      <c r="F253" s="2" t="str">
        <f>HYPERLINK("https://yandex.ru/maps/?pt=73.37190000000015,54.99120000000001&amp;z=17","открыть")</f>
        <v>открыть</v>
      </c>
      <c r="G253" s="2" t="str">
        <f>HYPERLINK("https://mediafasadomsk.com/surfaces/bb-internacionalnaya-ul-41-h-s-ul-gercena-svetofor-tc-omskij-a-a-900.jpg","смотреть")</f>
        <v>смотреть</v>
      </c>
      <c r="H253">
        <v>54.99120000000001</v>
      </c>
      <c r="I253">
        <v>73.37190000000015</v>
      </c>
    </row>
    <row r="254">
      <c r="A254">
        <v>253</v>
      </c>
      <c r="B254" t="inlineStr">
        <is>
          <t xml:space="preserve">Пересечение Интернациональной и Красного Пути</t>
        </is>
      </c>
      <c r="C254" t="inlineStr">
        <is>
          <t xml:space="preserve">Цифровой билборд</t>
        </is>
      </c>
      <c r="D254" t="inlineStr">
        <is>
          <t xml:space="preserve">6×3</t>
        </is>
      </c>
      <c r="E254" t="inlineStr">
        <is>
          <t xml:space="preserve">A1</t>
        </is>
      </c>
      <c r="F254" s="2" t="str">
        <f>HYPERLINK("https://yandex.ru/maps/?pt=73.36311123748186,54.99137760025123&amp;z=17","открыть")</f>
        <v>открыть</v>
      </c>
      <c r="G254" s="2" t="str">
        <f>HYPERLINK("https://mediafasadomsk.com/surfaces/bb-internacionalnaya-ul-h-s-ul-krasnyj-put-a-900.jpg","смотреть")</f>
        <v>смотреть</v>
      </c>
      <c r="H254">
        <v>54.99137760025123</v>
      </c>
      <c r="I254">
        <v>73.36311123748186</v>
      </c>
    </row>
    <row r="255">
      <c r="A255">
        <v>254</v>
      </c>
      <c r="B255" t="inlineStr">
        <is>
          <t xml:space="preserve">Иртышская набережная, 11/2</t>
        </is>
      </c>
      <c r="C255" t="inlineStr">
        <is>
          <t xml:space="preserve">Цифровой билборд</t>
        </is>
      </c>
      <c r="D255" t="inlineStr">
        <is>
          <t xml:space="preserve">6×3</t>
        </is>
      </c>
      <c r="E255" t="inlineStr">
        <is>
          <t xml:space="preserve">A1, B1</t>
        </is>
      </c>
      <c r="F255" s="2" t="str">
        <f>HYPERLINK("https://yandex.ru/maps/?pt=73.37923485543924,54.96861916146301&amp;z=17","открыть")</f>
        <v>открыть</v>
      </c>
      <c r="G255" s="2" t="str">
        <f>HYPERLINK("https://mediafasadomsk.com/surfaces/bb-irtyshskaya-nab-11k2-a-900.jpg","смотреть")</f>
        <v>смотреть</v>
      </c>
      <c r="H255">
        <v>54.96861916146301</v>
      </c>
      <c r="I255">
        <v>73.37923485543924</v>
      </c>
    </row>
    <row r="256">
      <c r="A256">
        <v>255</v>
      </c>
      <c r="B256" t="inlineStr">
        <is>
          <t xml:space="preserve">Иртышская набережная, 19 (светофор)</t>
        </is>
      </c>
      <c r="C256" t="inlineStr">
        <is>
          <t xml:space="preserve">Билборд</t>
        </is>
      </c>
      <c r="D256" t="inlineStr">
        <is>
          <t xml:space="preserve">6×3</t>
        </is>
      </c>
      <c r="E256" t="inlineStr">
        <is>
          <t xml:space="preserve">A, B</t>
        </is>
      </c>
      <c r="F256" s="2" t="str">
        <f>HYPERLINK("https://yandex.ru/maps/?pt=73.37959999999994,54.960899999999974&amp;z=17","открыть")</f>
        <v>открыть</v>
      </c>
      <c r="G256" s="2" t="str">
        <f>HYPERLINK("https://mediafasadomsk.com/surfaces/bb-irtyshskaya-nab-19-svetofor-a-900.jpg","смотреть")</f>
        <v>смотреть</v>
      </c>
      <c r="H256">
        <v>54.960899999999974</v>
      </c>
      <c r="I256">
        <v>73.37959999999994</v>
      </c>
    </row>
    <row r="257">
      <c r="A257">
        <v>256</v>
      </c>
      <c r="B257" t="inlineStr">
        <is>
          <t xml:space="preserve">Иртышская набережная, 31</t>
        </is>
      </c>
      <c r="C257" t="inlineStr">
        <is>
          <t xml:space="preserve">Билборд</t>
        </is>
      </c>
      <c r="D257" t="inlineStr">
        <is>
          <t xml:space="preserve">6×3</t>
        </is>
      </c>
      <c r="E257" t="inlineStr">
        <is>
          <t xml:space="preserve">A, B</t>
        </is>
      </c>
      <c r="F257" s="2" t="str">
        <f>HYPERLINK("https://yandex.ru/maps/?pt=73.3795570846578,54.95357248477166&amp;z=17","открыть")</f>
        <v>открыть</v>
      </c>
      <c r="G257" s="2" t="str">
        <f>HYPERLINK("https://mediafasadomsk.com/surfaces/bb-irtyshskaya-nab-31-a-900.jpg","смотреть")</f>
        <v>смотреть</v>
      </c>
      <c r="H257">
        <v>54.95357248477166</v>
      </c>
      <c r="I257">
        <v>73.3795570846578</v>
      </c>
    </row>
    <row r="258">
      <c r="A258">
        <v>257</v>
      </c>
      <c r="B258" t="inlineStr">
        <is>
          <t xml:space="preserve">Иртышская набережная, 42, пересечение с улицей Федора Крылова (светофор)</t>
        </is>
      </c>
      <c r="C258" t="inlineStr">
        <is>
          <t xml:space="preserve">Билборд</t>
        </is>
      </c>
      <c r="D258" t="inlineStr">
        <is>
          <t xml:space="preserve">6×3</t>
        </is>
      </c>
      <c r="E258" t="inlineStr">
        <is>
          <t xml:space="preserve">A, B</t>
        </is>
      </c>
      <c r="F258" s="2" t="str">
        <f>HYPERLINK("https://yandex.ru/maps/?pt=73.37644000000012,54.946838&amp;z=17","открыть")</f>
        <v>открыть</v>
      </c>
      <c r="G258" s="2" t="str">
        <f>HYPERLINK("https://mediafasadomsk.com/surfaces/bb-irtyshskaya-nab-42-h-s-ul-fedora-krylova-svetofor-a-900.jpg","смотреть")</f>
        <v>смотреть</v>
      </c>
      <c r="H258">
        <v>54.946838</v>
      </c>
      <c r="I258">
        <v>73.37644000000012</v>
      </c>
    </row>
    <row r="259">
      <c r="A259">
        <v>258</v>
      </c>
      <c r="B259" t="inlineStr">
        <is>
          <t xml:space="preserve">Иртышская набережная, 48 (светофор)</t>
        </is>
      </c>
      <c r="C259" t="inlineStr">
        <is>
          <t xml:space="preserve">Цифровой билборд</t>
        </is>
      </c>
      <c r="D259" t="inlineStr">
        <is>
          <t xml:space="preserve">6×3</t>
        </is>
      </c>
      <c r="E259" t="inlineStr">
        <is>
          <t xml:space="preserve">B1</t>
        </is>
      </c>
      <c r="F259" s="2" t="str">
        <f>HYPERLINK("https://yandex.ru/maps/?pt=73.37220088116764,54.94287613486166&amp;z=17","открыть")</f>
        <v>открыть</v>
      </c>
      <c r="G259" s="2" t="str">
        <f>HYPERLINK("https://mediafasadomsk.com/surfaces/bb-irtyshskaya-nab-48-svetofor-a-900.jpg","смотреть")</f>
        <v>смотреть</v>
      </c>
      <c r="H259">
        <v>54.94287613486166</v>
      </c>
      <c r="I259">
        <v>73.37220088116764</v>
      </c>
    </row>
    <row r="260">
      <c r="A260">
        <v>259</v>
      </c>
      <c r="B260" t="inlineStr">
        <is>
          <t xml:space="preserve">Иртышская набережная, 48 (светофор)</t>
        </is>
      </c>
      <c r="C260" t="inlineStr">
        <is>
          <t xml:space="preserve">Билборд</t>
        </is>
      </c>
      <c r="D260" t="inlineStr">
        <is>
          <t xml:space="preserve">6×3</t>
        </is>
      </c>
      <c r="E260" t="inlineStr">
        <is>
          <t xml:space="preserve">A</t>
        </is>
      </c>
      <c r="F260" s="2" t="str">
        <f>HYPERLINK("https://yandex.ru/maps/?pt=73.37220088116764,54.94287613486166&amp;z=17","открыть")</f>
        <v>открыть</v>
      </c>
      <c r="G260" s="2" t="str">
        <f>HYPERLINK("https://mediafasadomsk.com/surfaces/bb-irtyshskaya-nab-48-svetofor-a-a-900.jpg","смотреть")</f>
        <v>смотреть</v>
      </c>
      <c r="H260">
        <v>54.94287613486166</v>
      </c>
      <c r="I260">
        <v>73.37220088116764</v>
      </c>
    </row>
    <row r="261">
      <c r="A261">
        <v>260</v>
      </c>
      <c r="B261" t="inlineStr">
        <is>
          <t xml:space="preserve">Иртышская набережная, нечётная сторона, 100 м до съезда на Ленинградскую площадь (светофор)</t>
        </is>
      </c>
      <c r="C261" t="inlineStr">
        <is>
          <t xml:space="preserve">Билборд</t>
        </is>
      </c>
      <c r="D261" t="inlineStr">
        <is>
          <t xml:space="preserve">6×3</t>
        </is>
      </c>
      <c r="E261" t="inlineStr">
        <is>
          <t xml:space="preserve">A, B</t>
        </is>
      </c>
      <c r="F261" s="2" t="str">
        <f>HYPERLINK("https://yandex.ru/maps/?pt=73.37740000000016,54.97110000000001&amp;z=17","открыть")</f>
        <v>открыть</v>
      </c>
      <c r="G261" s="2" t="str">
        <f>HYPERLINK("https://mediafasadomsk.com/surfaces/bb-irtyshskaya-nab-nechetnaya-storona-100-m-do-sezda-na-leningradskuyu-ploshchad-svetofor-a-900.jpg","смотреть")</f>
        <v>смотреть</v>
      </c>
      <c r="H261">
        <v>54.97110000000001</v>
      </c>
      <c r="I261">
        <v>73.37740000000016</v>
      </c>
    </row>
    <row r="262">
      <c r="A262">
        <v>261</v>
      </c>
      <c r="B262" t="inlineStr">
        <is>
          <t xml:space="preserve">Иртышская набережная, нечётная сторона, 200 м до съезда на Ленинградскую площадь</t>
        </is>
      </c>
      <c r="C262" t="inlineStr">
        <is>
          <t xml:space="preserve">Билборд</t>
        </is>
      </c>
      <c r="D262" t="inlineStr">
        <is>
          <t xml:space="preserve">6×3</t>
        </is>
      </c>
      <c r="E262" t="inlineStr">
        <is>
          <t xml:space="preserve">A, B</t>
        </is>
      </c>
      <c r="F262" s="2" t="str">
        <f>HYPERLINK("https://yandex.ru/maps/?pt=73.37790000000015,54.970400000000005&amp;z=17","открыть")</f>
        <v>открыть</v>
      </c>
      <c r="G262" s="2" t="str">
        <f>HYPERLINK("https://mediafasadomsk.com/surfaces/bb-irtyshskaya-nab-nechetnaya-storona-200-m-do-sezda-na-leningradskuyu-ploshchad-a-900.jpg","смотреть")</f>
        <v>смотреть</v>
      </c>
      <c r="H262">
        <v>54.970400000000005</v>
      </c>
      <c r="I262">
        <v>73.37790000000015</v>
      </c>
    </row>
    <row r="263">
      <c r="A263">
        <v>262</v>
      </c>
      <c r="B263" t="inlineStr">
        <is>
          <t xml:space="preserve">Иртышская набережная, 27</t>
        </is>
      </c>
      <c r="C263" t="inlineStr">
        <is>
          <t xml:space="preserve">Билборд</t>
        </is>
      </c>
      <c r="D263" t="inlineStr">
        <is>
          <t xml:space="preserve">6×3</t>
        </is>
      </c>
      <c r="E263" t="inlineStr">
        <is>
          <t xml:space="preserve">A</t>
        </is>
      </c>
      <c r="F263" s="2" t="str">
        <f>HYPERLINK("https://yandex.ru/maps/?pt=73.379719,54.957369&amp;z=17","открыть")</f>
        <v>открыть</v>
      </c>
      <c r="G263" s="2" t="str">
        <f>HYPERLINK("https://mediafasadomsk.com/surfaces/bb-irtyshskaya-naberezhnaya-ul-27-a-900.jpg","смотреть")</f>
        <v>смотреть</v>
      </c>
      <c r="H263">
        <v>54.957369</v>
      </c>
      <c r="I263">
        <v>73.379719</v>
      </c>
    </row>
    <row r="264">
      <c r="A264">
        <v>263</v>
      </c>
      <c r="B264" t="inlineStr">
        <is>
          <t xml:space="preserve">Иртышская набережная, 36</t>
        </is>
      </c>
      <c r="C264" t="inlineStr">
        <is>
          <t xml:space="preserve">Цифровой билборд</t>
        </is>
      </c>
      <c r="D264" t="inlineStr">
        <is>
          <t xml:space="preserve">6×3</t>
        </is>
      </c>
      <c r="E264" t="inlineStr">
        <is>
          <t xml:space="preserve">A</t>
        </is>
      </c>
      <c r="F264" s="2" t="str">
        <f>HYPERLINK("https://yandex.ru/maps/?pt=73.378993,54.950497&amp;z=17","открыть")</f>
        <v>открыть</v>
      </c>
      <c r="G264" s="2" t="str">
        <f>HYPERLINK("https://mediafasadomsk.com/surfaces/bb-irtyshskaya-naberezhnaya-ul-36-a-900.jpg","смотреть")</f>
        <v>смотреть</v>
      </c>
      <c r="H264">
        <v>54.950497</v>
      </c>
      <c r="I264">
        <v>73.378993</v>
      </c>
    </row>
    <row r="265">
      <c r="A265">
        <v>264</v>
      </c>
      <c r="B265" t="inlineStr">
        <is>
          <t xml:space="preserve">Иртышская набережная, 36</t>
        </is>
      </c>
      <c r="C265" t="inlineStr">
        <is>
          <t xml:space="preserve">Билборд</t>
        </is>
      </c>
      <c r="D265" t="inlineStr">
        <is>
          <t xml:space="preserve">6×3</t>
        </is>
      </c>
      <c r="E265" t="inlineStr">
        <is>
          <t xml:space="preserve">B</t>
        </is>
      </c>
      <c r="F265" s="2" t="str">
        <f>HYPERLINK("https://yandex.ru/maps/?pt=73.378993,54.950497&amp;z=17","открыть")</f>
        <v>открыть</v>
      </c>
      <c r="G265" s="2" t="str">
        <f>HYPERLINK("https://mediafasadomsk.com/surfaces/bb-irtyshskaya-naberezhnaya-ul-36-b-a-900.jpg","смотреть")</f>
        <v>смотреть</v>
      </c>
      <c r="H265">
        <v>54.950497</v>
      </c>
      <c r="I265">
        <v>73.378993</v>
      </c>
    </row>
    <row r="266">
      <c r="A266">
        <v>265</v>
      </c>
      <c r="B266" t="inlineStr">
        <is>
          <t xml:space="preserve">Исилькутский тракт, пересечение с улицей 22 Декабря</t>
        </is>
      </c>
      <c r="C266" t="inlineStr">
        <is>
          <t xml:space="preserve">Билборд</t>
        </is>
      </c>
      <c r="D266" t="inlineStr">
        <is>
          <t xml:space="preserve">6×3</t>
        </is>
      </c>
      <c r="E266" t="inlineStr">
        <is>
          <t xml:space="preserve">A, B</t>
        </is>
      </c>
      <c r="F266" s="2" t="str">
        <f>HYPERLINK("https://yandex.ru/maps/?pt=73.27129999999994,54.952600000000004&amp;z=17","открыть")</f>
        <v>открыть</v>
      </c>
      <c r="G266" s="2" t="str">
        <f>HYPERLINK("https://mediafasadomsk.com/surfaces/bb-isilkutskij-trakt-h-s-ul-22-dekabrya-a-900.jpg","смотреть")</f>
        <v>смотреть</v>
      </c>
      <c r="H266">
        <v>54.952600000000004</v>
      </c>
      <c r="I266">
        <v>73.27129999999994</v>
      </c>
    </row>
    <row r="267">
      <c r="A267">
        <v>266</v>
      </c>
      <c r="B267" t="inlineStr">
        <is>
          <t xml:space="preserve">Калинина, напротив дома 8к1, пересечение с улицей Советская 1-я</t>
        </is>
      </c>
      <c r="C267" t="inlineStr">
        <is>
          <t xml:space="preserve">Билборд</t>
        </is>
      </c>
      <c r="D267" t="inlineStr">
        <is>
          <t xml:space="preserve">6×3</t>
        </is>
      </c>
      <c r="E267" t="inlineStr">
        <is>
          <t xml:space="preserve">A</t>
        </is>
      </c>
      <c r="F267" s="2" t="str">
        <f>HYPERLINK("https://yandex.ru/maps/?pt=73.37880000000028,54.930699999999995&amp;z=17","открыть")</f>
        <v>открыть</v>
      </c>
      <c r="G267" s="2" t="str">
        <f>HYPERLINK("https://mediafasadomsk.com/surfaces/bb-kalinina-ul-8k1-naprotiv-h-s-ul-sovetskaya-1-ya-a-900.jpg","смотреть")</f>
        <v>смотреть</v>
      </c>
      <c r="H267">
        <v>54.930699999999995</v>
      </c>
      <c r="I267">
        <v>73.37880000000028</v>
      </c>
    </row>
    <row r="268">
      <c r="A268">
        <v>267</v>
      </c>
      <c r="B268" t="inlineStr">
        <is>
          <t xml:space="preserve">Проспект Карла Маркса, 60 (улица Серова)</t>
        </is>
      </c>
      <c r="C268" t="inlineStr">
        <is>
          <t xml:space="preserve">Билборд</t>
        </is>
      </c>
      <c r="D268" t="inlineStr">
        <is>
          <t xml:space="preserve">6×3</t>
        </is>
      </c>
      <c r="E268" t="inlineStr">
        <is>
          <t xml:space="preserve">A, B</t>
        </is>
      </c>
      <c r="F268" s="2" t="str">
        <f>HYPERLINK("https://yandex.ru/maps/?pt=73.385999,54.947279&amp;z=17","открыть")</f>
        <v>открыть</v>
      </c>
      <c r="G268" s="2" t="str">
        <f>HYPERLINK("https://mediafasadomsk.com/surfaces/bb-karla-marksa-pr-60-serova-pl-a-900.jpg","смотреть")</f>
        <v>смотреть</v>
      </c>
      <c r="H268">
        <v>54.947279</v>
      </c>
      <c r="I268">
        <v>73.385999</v>
      </c>
    </row>
    <row r="269">
      <c r="A269">
        <v>268</v>
      </c>
      <c r="B269" t="inlineStr">
        <is>
          <t xml:space="preserve">Проспект Карла Маркса, 18 (светофор)</t>
        </is>
      </c>
      <c r="C269" t="inlineStr">
        <is>
          <t xml:space="preserve">Цифровой билборд</t>
        </is>
      </c>
      <c r="D269" t="inlineStr">
        <is>
          <t xml:space="preserve">6×3</t>
        </is>
      </c>
      <c r="E269" t="inlineStr">
        <is>
          <t xml:space="preserve">A1, B1</t>
        </is>
      </c>
      <c r="F269" s="2" t="str">
        <f>HYPERLINK("https://yandex.ru/maps/?pt=73.38359999999994,54.9684&amp;z=17","открыть")</f>
        <v>открыть</v>
      </c>
      <c r="G269" s="2" t="str">
        <f>HYPERLINK("https://mediafasadomsk.com/surfaces/bb-karla-marksa-prospekt-18-svetofor-a-900.jpg","смотреть")</f>
        <v>смотреть</v>
      </c>
      <c r="H269">
        <v>54.9684</v>
      </c>
      <c r="I269">
        <v>73.38359999999994</v>
      </c>
    </row>
    <row r="270">
      <c r="A270">
        <v>269</v>
      </c>
      <c r="B270" t="inlineStr">
        <is>
          <t xml:space="preserve">Проспект Карла Маркса, 39 (у пересечения с улицей Циолковского, светофор, ТЦ «Каскад»)</t>
        </is>
      </c>
      <c r="C270" t="inlineStr">
        <is>
          <t xml:space="preserve">Цифровой билборд</t>
        </is>
      </c>
      <c r="D270" t="inlineStr">
        <is>
          <t xml:space="preserve">6×3</t>
        </is>
      </c>
      <c r="E270" t="inlineStr">
        <is>
          <t xml:space="preserve">A1</t>
        </is>
      </c>
      <c r="F270" s="2" t="str">
        <f>HYPERLINK("https://yandex.ru/maps/?pt=73.38616093254085,54.962443000446&amp;z=17","открыть")</f>
        <v>открыть</v>
      </c>
      <c r="G270" s="2" t="str">
        <f>HYPERLINK("https://mediafasadomsk.com/surfaces/bb-karla-marksa-prospekt-39-h-s-ul-ciolkovskogo-svetofor-tc-kaskad-a-900.jpg","смотреть")</f>
        <v>смотреть</v>
      </c>
      <c r="H270">
        <v>54.962443000446</v>
      </c>
      <c r="I270">
        <v>73.38616093254085</v>
      </c>
    </row>
    <row r="271">
      <c r="A271">
        <v>270</v>
      </c>
      <c r="B271" t="inlineStr">
        <is>
          <t xml:space="preserve">Кемеровская, 11 (светофор)</t>
        </is>
      </c>
      <c r="C271" t="inlineStr">
        <is>
          <t xml:space="preserve">Билборд</t>
        </is>
      </c>
      <c r="D271" t="inlineStr">
        <is>
          <t xml:space="preserve">6×3</t>
        </is>
      </c>
      <c r="E271" t="inlineStr">
        <is>
          <t xml:space="preserve">A, B</t>
        </is>
      </c>
      <c r="F271" s="2" t="str">
        <f>HYPERLINK("https://yandex.ru/maps/?pt=73.3549948733352,55.00082462646222&amp;z=17","открыть")</f>
        <v>открыть</v>
      </c>
      <c r="G271" s="2" t="str">
        <f>HYPERLINK("https://mediafasadomsk.com/surfaces/bb-kemerovskaya-ul-11-svetofor-a-900.jpg","смотреть")</f>
        <v>смотреть</v>
      </c>
      <c r="H271">
        <v>55.00082462646222</v>
      </c>
      <c r="I271">
        <v>73.3549948733352</v>
      </c>
    </row>
    <row r="272">
      <c r="A272">
        <v>271</v>
      </c>
      <c r="B272" t="inlineStr">
        <is>
          <t xml:space="preserve">Кемеровская, нечётная сторона, пересечение с улицей Красный Путь (светофор)</t>
        </is>
      </c>
      <c r="C272" t="inlineStr">
        <is>
          <t xml:space="preserve">Билборд</t>
        </is>
      </c>
      <c r="D272" t="inlineStr">
        <is>
          <t xml:space="preserve">6×3</t>
        </is>
      </c>
      <c r="E272" t="inlineStr">
        <is>
          <t xml:space="preserve">A, B</t>
        </is>
      </c>
      <c r="F272" s="2" t="str">
        <f>HYPERLINK("https://yandex.ru/maps/?pt=73.3533000000002,55.000199999999985&amp;z=17","открыть")</f>
        <v>открыть</v>
      </c>
      <c r="G272" s="2" t="str">
        <f>HYPERLINK("https://mediafasadomsk.com/surfaces/bb-kemerovskaya-ul-nechetnaya-storona-h-s-ul-krasnyj-put-svetofor-a-900.jpg","смотреть")</f>
        <v>смотреть</v>
      </c>
      <c r="H272">
        <v>55.000199999999985</v>
      </c>
      <c r="I272">
        <v>73.3533000000002</v>
      </c>
    </row>
    <row r="273">
      <c r="A273">
        <v>272</v>
      </c>
      <c r="B273" t="inlineStr">
        <is>
          <t xml:space="preserve">Кирова, 12</t>
        </is>
      </c>
      <c r="C273" t="inlineStr">
        <is>
          <t xml:space="preserve">Билборд</t>
        </is>
      </c>
      <c r="D273" t="inlineStr">
        <is>
          <t xml:space="preserve">6×3</t>
        </is>
      </c>
      <c r="E273" t="inlineStr">
        <is>
          <t xml:space="preserve">A, B</t>
        </is>
      </c>
      <c r="F273" s="2" t="str">
        <f>HYPERLINK("https://yandex.ru/maps/?pt=73.4208582503322,54.946019872245614&amp;z=17","открыть")</f>
        <v>открыть</v>
      </c>
      <c r="G273" s="2" t="str">
        <f>HYPERLINK("https://mediafasadomsk.com/surfaces/bb-kirova-ul-12-a-900.jpg","смотреть")</f>
        <v>смотреть</v>
      </c>
      <c r="H273">
        <v>54.946019872245614</v>
      </c>
      <c r="I273">
        <v>73.4208582503322</v>
      </c>
    </row>
    <row r="274">
      <c r="A274">
        <v>273</v>
      </c>
      <c r="B274" t="inlineStr">
        <is>
          <t xml:space="preserve">Кирова, напротив дома 150 (светофор)</t>
        </is>
      </c>
      <c r="C274" t="inlineStr">
        <is>
          <t xml:space="preserve">Билборд</t>
        </is>
      </c>
      <c r="D274" t="inlineStr">
        <is>
          <t xml:space="preserve">6×3</t>
        </is>
      </c>
      <c r="E274" t="inlineStr">
        <is>
          <t xml:space="preserve">A, B</t>
        </is>
      </c>
      <c r="F274" s="2" t="str">
        <f>HYPERLINK("https://yandex.ru/maps/?pt=73.43209092757783,54.93617002702572&amp;z=17","открыть")</f>
        <v>открыть</v>
      </c>
      <c r="G274" s="2" t="str">
        <f>HYPERLINK("https://mediafasadomsk.com/surfaces/bb-kirova-ul-150-naprotiv-svetofor-a-900.jpg","смотреть")</f>
        <v>смотреть</v>
      </c>
      <c r="H274">
        <v>54.93617002702572</v>
      </c>
      <c r="I274">
        <v>73.43209092757783</v>
      </c>
    </row>
    <row r="275">
      <c r="A275">
        <v>274</v>
      </c>
      <c r="B275" t="inlineStr">
        <is>
          <t xml:space="preserve">Кирова, 16/1</t>
        </is>
      </c>
      <c r="C275" t="inlineStr">
        <is>
          <t xml:space="preserve">Цифровой билборд</t>
        </is>
      </c>
      <c r="D275" t="inlineStr">
        <is>
          <t xml:space="preserve">6×3</t>
        </is>
      </c>
      <c r="E275" t="inlineStr">
        <is>
          <t xml:space="preserve">A, B</t>
        </is>
      </c>
      <c r="F275" s="2" t="str">
        <f>HYPERLINK("https://yandex.ru/maps/?pt=73.422867,54.944514&amp;z=17","открыть")</f>
        <v>открыть</v>
      </c>
      <c r="G275" s="2" t="str">
        <f>HYPERLINK("https://mediafasadomsk.com/surfaces/bb-kirova-ul-16-1-a-900.jpg","смотреть")</f>
        <v>смотреть</v>
      </c>
      <c r="H275">
        <v>54.944514</v>
      </c>
      <c r="I275">
        <v>73.422867</v>
      </c>
    </row>
    <row r="276">
      <c r="A276">
        <v>275</v>
      </c>
      <c r="B276" t="inlineStr">
        <is>
          <t xml:space="preserve">Кирова, 16/3 (светофор)</t>
        </is>
      </c>
      <c r="C276" t="inlineStr">
        <is>
          <t xml:space="preserve">Билборд</t>
        </is>
      </c>
      <c r="D276" t="inlineStr">
        <is>
          <t xml:space="preserve">6×3</t>
        </is>
      </c>
      <c r="E276" t="inlineStr">
        <is>
          <t xml:space="preserve">A, B</t>
        </is>
      </c>
      <c r="F276" s="2" t="str">
        <f>HYPERLINK("https://yandex.ru/maps/?pt=73.42260000000007,54.944499999999984&amp;z=17","открыть")</f>
        <v>открыть</v>
      </c>
      <c r="G276" s="2" t="str">
        <f>HYPERLINK("https://mediafasadomsk.com/surfaces/bb-kirova-ul-16k3-svetofor-a-900.jpg","смотреть")</f>
        <v>смотреть</v>
      </c>
      <c r="H276">
        <v>54.944499999999984</v>
      </c>
      <c r="I276">
        <v>73.42260000000007</v>
      </c>
    </row>
    <row r="277">
      <c r="A277">
        <v>276</v>
      </c>
      <c r="B277" t="inlineStr">
        <is>
          <t xml:space="preserve">Кирова, 173 (светофор)</t>
        </is>
      </c>
      <c r="C277" t="inlineStr">
        <is>
          <t xml:space="preserve">Билборд</t>
        </is>
      </c>
      <c r="D277" t="inlineStr">
        <is>
          <t xml:space="preserve">6×3</t>
        </is>
      </c>
      <c r="E277" t="inlineStr">
        <is>
          <t xml:space="preserve">A, B</t>
        </is>
      </c>
      <c r="F277" s="2" t="str">
        <f>HYPERLINK("https://yandex.ru/maps/?pt=73.4348514676361,54.93389348169288&amp;z=17","открыть")</f>
        <v>открыть</v>
      </c>
      <c r="G277" s="2" t="str">
        <f>HYPERLINK("https://mediafasadomsk.com/surfaces/bb-kirova-ul-173-svetofor-a-900.jpg","смотреть")</f>
        <v>смотреть</v>
      </c>
      <c r="H277">
        <v>54.93389348169288</v>
      </c>
      <c r="I277">
        <v>73.4348514676361</v>
      </c>
    </row>
    <row r="278">
      <c r="A278">
        <v>277</v>
      </c>
      <c r="B278" t="inlineStr">
        <is>
          <t xml:space="preserve">Кирова, 178 (светофор)</t>
        </is>
      </c>
      <c r="C278" t="inlineStr">
        <is>
          <t xml:space="preserve">Цифровой билборд</t>
        </is>
      </c>
      <c r="D278" t="inlineStr">
        <is>
          <t xml:space="preserve">6×3</t>
        </is>
      </c>
      <c r="E278" t="inlineStr">
        <is>
          <t xml:space="preserve">A1, B1</t>
        </is>
      </c>
      <c r="F278" s="2" t="str">
        <f>HYPERLINK("https://yandex.ru/maps/?pt=73.43591094062545,54.93291697452854&amp;z=17","открыть")</f>
        <v>открыть</v>
      </c>
      <c r="G278" s="2" t="str">
        <f>HYPERLINK("https://mediafasadomsk.com/surfaces/bb-kirova-ul-178-svetofor-a-900.jpg","смотреть")</f>
        <v>смотреть</v>
      </c>
      <c r="H278">
        <v>54.93291697452854</v>
      </c>
      <c r="I278">
        <v>73.43591094062545</v>
      </c>
    </row>
    <row r="279">
      <c r="A279">
        <v>278</v>
      </c>
      <c r="B279" t="inlineStr">
        <is>
          <t xml:space="preserve">Кирова, 183, пересечение с улицей Барабинская (светофор)</t>
        </is>
      </c>
      <c r="C279" t="inlineStr">
        <is>
          <t xml:space="preserve">Билборд</t>
        </is>
      </c>
      <c r="D279" t="inlineStr">
        <is>
          <t xml:space="preserve">6×3</t>
        </is>
      </c>
      <c r="E279" t="inlineStr">
        <is>
          <t xml:space="preserve">A, B</t>
        </is>
      </c>
      <c r="F279" s="2" t="str">
        <f>HYPERLINK("https://yandex.ru/maps/?pt=73.43678265812703,54.93241409949536&amp;z=17","открыть")</f>
        <v>открыть</v>
      </c>
      <c r="G279" s="2" t="str">
        <f>HYPERLINK("https://mediafasadomsk.com/surfaces/bb-kirova-ul-183-h-s-ul-barabinskaya-svetofor-a-900.jpg","смотреть")</f>
        <v>смотреть</v>
      </c>
      <c r="H279">
        <v>54.93241409949536</v>
      </c>
      <c r="I279">
        <v>73.43678265812703</v>
      </c>
    </row>
    <row r="280">
      <c r="A280">
        <v>279</v>
      </c>
      <c r="B280" t="inlineStr">
        <is>
          <t xml:space="preserve">Кирова, 20/1, Рабочая 13-я</t>
        </is>
      </c>
      <c r="C280" t="inlineStr">
        <is>
          <t xml:space="preserve">Цифровой билборд</t>
        </is>
      </c>
      <c r="D280" t="inlineStr">
        <is>
          <t xml:space="preserve">6×3</t>
        </is>
      </c>
      <c r="E280" t="inlineStr">
        <is>
          <t xml:space="preserve">A, B</t>
        </is>
      </c>
      <c r="F280" s="2" t="str">
        <f>HYPERLINK("https://yandex.ru/maps/?pt=73.424648,54.942454&amp;z=17","открыть")</f>
        <v>открыть</v>
      </c>
      <c r="G280" s="2" t="str">
        <f>HYPERLINK("https://mediafasadomsk.com/surfaces/bb-kirova-ul-20-1-rabochaya-13-ya-ul-a-900.jpg","смотреть")</f>
        <v>смотреть</v>
      </c>
      <c r="H280">
        <v>54.942454</v>
      </c>
      <c r="I280">
        <v>73.424648</v>
      </c>
    </row>
    <row r="281">
      <c r="A281">
        <v>280</v>
      </c>
      <c r="B281" t="inlineStr">
        <is>
          <t xml:space="preserve">Кирова, 202, Барабинская</t>
        </is>
      </c>
      <c r="C281" t="inlineStr">
        <is>
          <t xml:space="preserve">Цифровой билборд</t>
        </is>
      </c>
      <c r="D281" t="inlineStr">
        <is>
          <t xml:space="preserve">6×3</t>
        </is>
      </c>
      <c r="E281" t="inlineStr">
        <is>
          <t xml:space="preserve">A, B</t>
        </is>
      </c>
      <c r="F281" s="2" t="str">
        <f>HYPERLINK("https://yandex.ru/maps/?pt=73.438299,54.931707&amp;z=17","открыть")</f>
        <v>открыть</v>
      </c>
      <c r="G281" s="2" t="str">
        <f>HYPERLINK("https://mediafasadomsk.com/surfaces/bb-kirova-ul-202-barabinskaya-ul-a-900.jpg","смотреть")</f>
        <v>смотреть</v>
      </c>
      <c r="H281">
        <v>54.931707</v>
      </c>
      <c r="I281">
        <v>73.438299</v>
      </c>
    </row>
    <row r="282">
      <c r="A282">
        <v>281</v>
      </c>
      <c r="B282" t="inlineStr">
        <is>
          <t xml:space="preserve">Кирова, 22/2 (у пересечения с улицей 15-я Рабочая, светофор)</t>
        </is>
      </c>
      <c r="C282" t="inlineStr">
        <is>
          <t xml:space="preserve">Билборд</t>
        </is>
      </c>
      <c r="D282" t="inlineStr">
        <is>
          <t xml:space="preserve">6×3</t>
        </is>
      </c>
      <c r="E282" t="inlineStr">
        <is>
          <t xml:space="preserve">B</t>
        </is>
      </c>
      <c r="F282" s="2" t="str">
        <f>HYPERLINK("https://yandex.ru/maps/?pt=73.42610571527473,54.94093974574859&amp;z=17","открыть")</f>
        <v>открыть</v>
      </c>
      <c r="G282" s="2" t="str">
        <f>HYPERLINK("https://mediafasadomsk.com/surfaces/bb-kirova-ul-22-2-h-s-ul-rabochaya-15-ya-svetofor-a-900.jpg","смотреть")</f>
        <v>смотреть</v>
      </c>
      <c r="H282">
        <v>54.94093974574859</v>
      </c>
      <c r="I282">
        <v>73.42610571527473</v>
      </c>
    </row>
    <row r="283">
      <c r="A283">
        <v>282</v>
      </c>
      <c r="B283" t="inlineStr">
        <is>
          <t xml:space="preserve">Кирова, 4 (светофор)</t>
        </is>
      </c>
      <c r="C283" t="inlineStr">
        <is>
          <t xml:space="preserve">Билборд</t>
        </is>
      </c>
      <c r="D283" t="inlineStr">
        <is>
          <t xml:space="preserve">6×3</t>
        </is>
      </c>
      <c r="E283" t="inlineStr">
        <is>
          <t xml:space="preserve">A, B</t>
        </is>
      </c>
      <c r="F283" s="2" t="str">
        <f>HYPERLINK("https://yandex.ru/maps/?pt=73.41645714120783,54.950062763122986&amp;z=17","открыть")</f>
        <v>открыть</v>
      </c>
      <c r="G283" s="2" t="str">
        <f>HYPERLINK("https://mediafasadomsk.com/surfaces/bb-kirova-ul-4-svetofor-a-900.jpg","смотреть")</f>
        <v>смотреть</v>
      </c>
      <c r="H283">
        <v>54.950062763122986</v>
      </c>
      <c r="I283">
        <v>73.41645714120783</v>
      </c>
    </row>
    <row r="284">
      <c r="A284">
        <v>283</v>
      </c>
      <c r="B284" t="inlineStr">
        <is>
          <t xml:space="preserve">Кирова, 5 (светофор)</t>
        </is>
      </c>
      <c r="C284" t="inlineStr">
        <is>
          <t xml:space="preserve">Билборд</t>
        </is>
      </c>
      <c r="D284" t="inlineStr">
        <is>
          <t xml:space="preserve">6×3</t>
        </is>
      </c>
      <c r="E284" t="inlineStr">
        <is>
          <t xml:space="preserve">A, B</t>
        </is>
      </c>
      <c r="F284" s="2" t="str">
        <f>HYPERLINK("https://yandex.ru/maps/?pt=73.41607090311021,54.95058341071006&amp;z=17","открыть")</f>
        <v>открыть</v>
      </c>
      <c r="G284" s="2" t="str">
        <f>HYPERLINK("https://mediafasadomsk.com/surfaces/bb-kirova-ul-5-svetofor-a-900.jpg","смотреть")</f>
        <v>смотреть</v>
      </c>
      <c r="H284">
        <v>54.95058341071006</v>
      </c>
      <c r="I284">
        <v>73.41607090311021</v>
      </c>
    </row>
    <row r="285">
      <c r="A285">
        <v>284</v>
      </c>
      <c r="B285" t="inlineStr">
        <is>
          <t xml:space="preserve">Кирова, 53 (светофор)</t>
        </is>
      </c>
      <c r="C285" t="inlineStr">
        <is>
          <t xml:space="preserve">Цифровой билборд</t>
        </is>
      </c>
      <c r="D285" t="inlineStr">
        <is>
          <t xml:space="preserve">6×3</t>
        </is>
      </c>
      <c r="E285" t="inlineStr">
        <is>
          <t xml:space="preserve">A1, B1</t>
        </is>
      </c>
      <c r="F285" s="2" t="str">
        <f>HYPERLINK("https://yandex.ru/maps/?pt=73.42453766501208,54.9429076847634&amp;z=17","открыть")</f>
        <v>открыть</v>
      </c>
      <c r="G285" s="2" t="str">
        <f>HYPERLINK("https://mediafasadomsk.com/surfaces/bb-kirova-ul-53-svetofor-a-900.jpg","смотреть")</f>
        <v>смотреть</v>
      </c>
      <c r="H285">
        <v>54.9429076847634</v>
      </c>
      <c r="I285">
        <v>73.42453766501208</v>
      </c>
    </row>
    <row r="286">
      <c r="A286">
        <v>285</v>
      </c>
      <c r="B286" t="inlineStr">
        <is>
          <t xml:space="preserve">Кирова, 7</t>
        </is>
      </c>
      <c r="C286" t="inlineStr">
        <is>
          <t xml:space="preserve">Билборд</t>
        </is>
      </c>
      <c r="D286" t="inlineStr">
        <is>
          <t xml:space="preserve">6×3</t>
        </is>
      </c>
      <c r="E286" t="inlineStr">
        <is>
          <t xml:space="preserve">A, B</t>
        </is>
      </c>
      <c r="F286" s="2" t="str">
        <f>HYPERLINK("https://yandex.ru/maps/?pt=73.41855247850411,54.94835403035581&amp;z=17","открыть")</f>
        <v>открыть</v>
      </c>
      <c r="G286" s="2" t="str">
        <f>HYPERLINK("https://mediafasadomsk.com/surfaces/bb-kirova-ul-7-a-900.jpg","смотреть")</f>
        <v>смотреть</v>
      </c>
      <c r="H286">
        <v>54.94835403035581</v>
      </c>
      <c r="I286">
        <v>73.41855247850411</v>
      </c>
    </row>
    <row r="287">
      <c r="A287">
        <v>286</v>
      </c>
      <c r="B287" t="inlineStr">
        <is>
          <t xml:space="preserve">Пересечение 2-й Кольцевой и Берёзовой (дом 1)</t>
        </is>
      </c>
      <c r="C287" t="inlineStr">
        <is>
          <t xml:space="preserve">Билборд</t>
        </is>
      </c>
      <c r="D287" t="inlineStr">
        <is>
          <t xml:space="preserve">6×3</t>
        </is>
      </c>
      <c r="E287" t="inlineStr">
        <is>
          <t xml:space="preserve">A, B</t>
        </is>
      </c>
      <c r="F287" s="2" t="str">
        <f>HYPERLINK("https://yandex.ru/maps/?pt=73.340303,55.016714&amp;z=17","открыть")</f>
        <v>открыть</v>
      </c>
      <c r="G287" s="2" t="str">
        <f>HYPERLINK("https://mediafasadomsk.com/surfaces/bb-kolcevaya-2-ya-ul-berezovaya-ul-1-a-900.jpg","смотреть")</f>
        <v>смотреть</v>
      </c>
      <c r="H287">
        <v>55.016714</v>
      </c>
      <c r="I287">
        <v>73.340303</v>
      </c>
    </row>
    <row r="288">
      <c r="A288">
        <v>287</v>
      </c>
      <c r="B288" t="inlineStr">
        <is>
          <t xml:space="preserve">Кольцевая 2-я, Дачная 2-я</t>
        </is>
      </c>
      <c r="C288" t="inlineStr">
        <is>
          <t xml:space="preserve">Билборд</t>
        </is>
      </c>
      <c r="D288" t="inlineStr">
        <is>
          <t xml:space="preserve">6×3</t>
        </is>
      </c>
      <c r="E288" t="inlineStr">
        <is>
          <t xml:space="preserve">A</t>
        </is>
      </c>
      <c r="F288" s="2" t="str">
        <f>HYPERLINK("https://yandex.ru/maps/?pt=73.350258,55.010808&amp;z=17","открыть")</f>
        <v>открыть</v>
      </c>
      <c r="G288" s="2" t="str">
        <f>HYPERLINK("https://mediafasadomsk.com/surfaces/bb-kolcevaya-2-ya-ul-dachnaya-2-ya-ul-a-900.jpg","смотреть")</f>
        <v>смотреть</v>
      </c>
      <c r="H288">
        <v>55.010808</v>
      </c>
      <c r="I288">
        <v>73.350258</v>
      </c>
    </row>
    <row r="289">
      <c r="A289">
        <v>288</v>
      </c>
      <c r="B289" t="inlineStr">
        <is>
          <t xml:space="preserve">Проспект Комарова, 11</t>
        </is>
      </c>
      <c r="C289" t="inlineStr">
        <is>
          <t xml:space="preserve">Билборд</t>
        </is>
      </c>
      <c r="D289" t="inlineStr">
        <is>
          <t xml:space="preserve">6×3</t>
        </is>
      </c>
      <c r="E289" t="inlineStr">
        <is>
          <t xml:space="preserve">A, B</t>
        </is>
      </c>
      <c r="F289" s="2" t="str">
        <f>HYPERLINK("https://yandex.ru/maps/?pt=73.29513788223245,54.99003706040373&amp;z=17","открыть")</f>
        <v>открыть</v>
      </c>
      <c r="G289" s="2" t="str">
        <f>HYPERLINK("https://mediafasadomsk.com/surfaces/bb-komarova-prospekt-11-a-900.jpg","смотреть")</f>
        <v>смотреть</v>
      </c>
      <c r="H289">
        <v>54.99003706040373</v>
      </c>
      <c r="I289">
        <v>73.29513788223245</v>
      </c>
    </row>
    <row r="290">
      <c r="A290">
        <v>289</v>
      </c>
      <c r="B290" t="inlineStr">
        <is>
          <t xml:space="preserve">Проспект Комарова, напротив дома 138, после пересечения с бульваром Архитекторов (светофор)</t>
        </is>
      </c>
      <c r="C290" t="inlineStr">
        <is>
          <t xml:space="preserve">Билборд</t>
        </is>
      </c>
      <c r="D290" t="inlineStr">
        <is>
          <t xml:space="preserve">6×3</t>
        </is>
      </c>
      <c r="E290" t="inlineStr">
        <is>
          <t xml:space="preserve">A, B</t>
        </is>
      </c>
      <c r="F290" s="2" t="str">
        <f>HYPERLINK("https://yandex.ru/maps/?pt=73.3011621236803,54.98723012918803&amp;z=17","открыть")</f>
        <v>открыть</v>
      </c>
      <c r="G290" s="2" t="str">
        <f>HYPERLINK("https://mediafasadomsk.com/surfaces/bb-komarova-prospekt-138-naprotiv-posle-h-s-bulvarom-arhitektorov-svetofor-a-900.jpg","смотреть")</f>
        <v>смотреть</v>
      </c>
      <c r="H290">
        <v>54.98723012918803</v>
      </c>
      <c r="I290">
        <v>73.3011621236803</v>
      </c>
    </row>
    <row r="291">
      <c r="A291">
        <v>290</v>
      </c>
      <c r="B291" t="inlineStr">
        <is>
          <t xml:space="preserve">Проспект Комарова, 13В, пересечение с бульваром Архитекторов (светофор)</t>
        </is>
      </c>
      <c r="C291" t="inlineStr">
        <is>
          <t xml:space="preserve">Билборд</t>
        </is>
      </c>
      <c r="D291" t="inlineStr">
        <is>
          <t xml:space="preserve">6×3</t>
        </is>
      </c>
      <c r="E291" t="inlineStr">
        <is>
          <t xml:space="preserve">A, B</t>
        </is>
      </c>
      <c r="F291" s="2" t="str">
        <f>HYPERLINK("https://yandex.ru/maps/?pt=73.30075979000016,54.98724858999997&amp;z=17","открыть")</f>
        <v>открыть</v>
      </c>
      <c r="G291" s="2" t="str">
        <f>HYPERLINK("https://mediafasadomsk.com/surfaces/bb-komarova-prospekt-13v-h-s-bulvarom-arhitektorov-svetofor-a-900.jpg","смотреть")</f>
        <v>смотреть</v>
      </c>
      <c r="H291">
        <v>54.98724858999997</v>
      </c>
      <c r="I291">
        <v>73.30075979000016</v>
      </c>
    </row>
    <row r="292">
      <c r="A292">
        <v>291</v>
      </c>
      <c r="B292" t="inlineStr">
        <is>
          <t xml:space="preserve">Проспект Комарова, 2 (ТЦ «Маяк»)</t>
        </is>
      </c>
      <c r="C292" t="inlineStr">
        <is>
          <t xml:space="preserve">Билборд</t>
        </is>
      </c>
      <c r="D292" t="inlineStr">
        <is>
          <t xml:space="preserve">6×3</t>
        </is>
      </c>
      <c r="E292" t="inlineStr">
        <is>
          <t xml:space="preserve">A, B</t>
        </is>
      </c>
      <c r="F292" s="2" t="str">
        <f>HYPERLINK("https://yandex.ru/maps/?pt=73.28089999999985,54.997499999999974&amp;z=17","открыть")</f>
        <v>открыть</v>
      </c>
      <c r="G292" s="2" t="str">
        <f>HYPERLINK("https://mediafasadomsk.com/surfaces/bb-komarova-prospekt-2-tc-mayak-a-900.jpg","смотреть")</f>
        <v>смотреть</v>
      </c>
      <c r="H292">
        <v>54.997499999999974</v>
      </c>
      <c r="I292">
        <v>73.28089999999985</v>
      </c>
    </row>
    <row r="293">
      <c r="A293">
        <v>292</v>
      </c>
      <c r="B293" t="inlineStr">
        <is>
          <t xml:space="preserve">Проспект Комарова, напротив дома 7 (светофор)</t>
        </is>
      </c>
      <c r="C293" t="inlineStr">
        <is>
          <t xml:space="preserve">Билборд</t>
        </is>
      </c>
      <c r="D293" t="inlineStr">
        <is>
          <t xml:space="preserve">6×3</t>
        </is>
      </c>
      <c r="E293" t="inlineStr">
        <is>
          <t xml:space="preserve">A, B</t>
        </is>
      </c>
      <c r="F293" s="2" t="str">
        <f>HYPERLINK("https://yandex.ru/maps/?pt=73.28837201223371,54.993644573156814&amp;z=17","открыть")</f>
        <v>открыть</v>
      </c>
      <c r="G293" s="2" t="str">
        <f>HYPERLINK("https://mediafasadomsk.com/surfaces/bb-komarova-prospekt-7-naprotiv-svetofor-a-900.jpg","смотреть")</f>
        <v>смотреть</v>
      </c>
      <c r="H293">
        <v>54.993644573156814</v>
      </c>
      <c r="I293">
        <v>73.28837201223371</v>
      </c>
    </row>
    <row r="294">
      <c r="A294">
        <v>293</v>
      </c>
      <c r="B294" t="inlineStr">
        <is>
          <t xml:space="preserve">Проспект Комарова, чётная сторона, пересечение с улицей Лукашевича (светофор, ТЦ «Маяк»)</t>
        </is>
      </c>
      <c r="C294" t="inlineStr">
        <is>
          <t xml:space="preserve">Билборд</t>
        </is>
      </c>
      <c r="D294" t="inlineStr">
        <is>
          <t xml:space="preserve">6×3</t>
        </is>
      </c>
      <c r="E294" t="inlineStr">
        <is>
          <t xml:space="preserve">A, B</t>
        </is>
      </c>
      <c r="F294" s="2" t="str">
        <f>HYPERLINK("https://yandex.ru/maps/?pt=73.27762843395494,54.99883530365523&amp;z=17","открыть")</f>
        <v>открыть</v>
      </c>
      <c r="G294" s="2" t="str">
        <f>HYPERLINK("https://mediafasadomsk.com/surfaces/bb-komarova-prospekt-chetnaya-storona-h-s-ul-lukashevicha-svetofor-tc-mayak-a-900.jpg","смотреть")</f>
        <v>смотреть</v>
      </c>
      <c r="H294">
        <v>54.99883530365523</v>
      </c>
      <c r="I294">
        <v>73.27762843395494</v>
      </c>
    </row>
    <row r="295">
      <c r="A295">
        <v>294</v>
      </c>
      <c r="B295" t="inlineStr">
        <is>
          <t xml:space="preserve">Проспект Комарова, нечётная сторона, после пересечения с улицей Лукашевича (светофор, ТЦ «Маяк»)</t>
        </is>
      </c>
      <c r="C295" t="inlineStr">
        <is>
          <t xml:space="preserve">Билборд</t>
        </is>
      </c>
      <c r="D295" t="inlineStr">
        <is>
          <t xml:space="preserve">6×3</t>
        </is>
      </c>
      <c r="E295" t="inlineStr">
        <is>
          <t xml:space="preserve">A, B</t>
        </is>
      </c>
      <c r="F295" s="2" t="str">
        <f>HYPERLINK("https://yandex.ru/maps/?pt=73.27836067722168,54.99831823756161&amp;z=17","открыть")</f>
        <v>открыть</v>
      </c>
      <c r="G295" s="2" t="str">
        <f>HYPERLINK("https://mediafasadomsk.com/surfaces/bb-komarova-prospekt-nechetnaya-storona-posle-h-s-ul-lukashevicha-svetofor-tc-mayak-a-900.jpg","смотреть")</f>
        <v>смотреть</v>
      </c>
      <c r="H295">
        <v>54.99831823756161</v>
      </c>
      <c r="I295">
        <v>73.27836067722168</v>
      </c>
    </row>
    <row r="296">
      <c r="A296">
        <v>295</v>
      </c>
      <c r="B296" t="inlineStr">
        <is>
          <t xml:space="preserve">Пересечение Перелёта и проспекта Комарова</t>
        </is>
      </c>
      <c r="C296" t="inlineStr">
        <is>
          <t xml:space="preserve">Цифровой билборд</t>
        </is>
      </c>
      <c r="D296" t="inlineStr">
        <is>
          <t xml:space="preserve">6×3</t>
        </is>
      </c>
      <c r="E296" t="inlineStr">
        <is>
          <t xml:space="preserve">A</t>
        </is>
      </c>
      <c r="F296" s="2" t="str">
        <f>HYPERLINK("https://yandex.ru/maps/?pt=73.288119,54.993304&amp;z=17","открыть")</f>
        <v>открыть</v>
      </c>
      <c r="G296" s="2" t="str">
        <f>HYPERLINK("https://mediafasadomsk.com/surfaces/bb-komarova-ul-peresechenie-s-pereleta-ul-a-900.jpg","смотреть")</f>
        <v>смотреть</v>
      </c>
      <c r="H296">
        <v>54.993304</v>
      </c>
      <c r="I296">
        <v>73.288119</v>
      </c>
    </row>
    <row r="297">
      <c r="A297">
        <v>296</v>
      </c>
      <c r="B297" t="inlineStr">
        <is>
          <t xml:space="preserve">Пересечение Перелёта и проспекта Комарова</t>
        </is>
      </c>
      <c r="C297" t="inlineStr">
        <is>
          <t xml:space="preserve">Билборд</t>
        </is>
      </c>
      <c r="D297" t="inlineStr">
        <is>
          <t xml:space="preserve">6×3</t>
        </is>
      </c>
      <c r="E297" t="inlineStr">
        <is>
          <t xml:space="preserve">B</t>
        </is>
      </c>
      <c r="F297" s="2" t="str">
        <f>HYPERLINK("https://yandex.ru/maps/?pt=73.288119,54.993304&amp;z=17","открыть")</f>
        <v>открыть</v>
      </c>
      <c r="G297" s="2" t="str">
        <f>HYPERLINK("https://mediafasadomsk.com/surfaces/bb-komarova-ul-peresechenie-s-pereleta-ul-b-a-900.jpg","смотреть")</f>
        <v>смотреть</v>
      </c>
      <c r="H297">
        <v>54.993304</v>
      </c>
      <c r="I297">
        <v>73.288119</v>
      </c>
    </row>
    <row r="298">
      <c r="A298">
        <v>297</v>
      </c>
      <c r="B298" t="inlineStr">
        <is>
          <t xml:space="preserve">13-я Комсомольская, 20</t>
        </is>
      </c>
      <c r="C298" t="inlineStr">
        <is>
          <t xml:space="preserve">Билборд</t>
        </is>
      </c>
      <c r="D298" t="inlineStr">
        <is>
          <t xml:space="preserve">6×3</t>
        </is>
      </c>
      <c r="E298" t="inlineStr">
        <is>
          <t xml:space="preserve">A, B</t>
        </is>
      </c>
      <c r="F298" s="2" t="str">
        <f>HYPERLINK("https://yandex.ru/maps/?pt=73.38549781349171,54.906722029098006&amp;z=17","открыть")</f>
        <v>открыть</v>
      </c>
      <c r="G298" s="2" t="str">
        <f>HYPERLINK("https://mediafasadomsk.com/surfaces/bb-komsomolskaya-13-ya-ul-20-a-900.jpg","смотреть")</f>
        <v>смотреть</v>
      </c>
      <c r="H298">
        <v>54.906722029098006</v>
      </c>
      <c r="I298">
        <v>73.38549781349171</v>
      </c>
    </row>
    <row r="299">
      <c r="A299">
        <v>298</v>
      </c>
      <c r="B299" t="inlineStr">
        <is>
          <t xml:space="preserve">Кондратюка, чётная сторона, пересечение с улицей Волгоградская (светофор, а/с «Барс»)</t>
        </is>
      </c>
      <c r="C299" t="inlineStr">
        <is>
          <t xml:space="preserve">Билборд</t>
        </is>
      </c>
      <c r="D299" t="inlineStr">
        <is>
          <t xml:space="preserve">6×3</t>
        </is>
      </c>
      <c r="E299" t="inlineStr">
        <is>
          <t xml:space="preserve">A, B</t>
        </is>
      </c>
      <c r="F299" s="2" t="str">
        <f>HYPERLINK("https://yandex.ru/maps/?pt=73.23122535252979,54.99075065663675&amp;z=17","открыть")</f>
        <v>открыть</v>
      </c>
      <c r="G299" s="2" t="str">
        <f>HYPERLINK("https://mediafasadomsk.com/surfaces/bb-kondratyuka-ul-chetnaya-storona-h-s-ul-volgogradskaya-svetofor-a-s-bars-a-900.jpg","смотреть")</f>
        <v>смотреть</v>
      </c>
      <c r="H299">
        <v>54.99075065663675</v>
      </c>
      <c r="I299">
        <v>73.23122535252979</v>
      </c>
    </row>
    <row r="300">
      <c r="A300">
        <v>299</v>
      </c>
      <c r="B300" t="inlineStr">
        <is>
          <t xml:space="preserve">Конева (АЗС Лукойл) справа</t>
        </is>
      </c>
      <c r="C300" t="inlineStr">
        <is>
          <t xml:space="preserve">Цифровой билборд</t>
        </is>
      </c>
      <c r="D300" t="inlineStr">
        <is>
          <t xml:space="preserve">6×3</t>
        </is>
      </c>
      <c r="E300" t="inlineStr">
        <is>
          <t xml:space="preserve">A</t>
        </is>
      </c>
      <c r="F300" s="2" t="str">
        <f>HYPERLINK("https://yandex.ru/maps/?pt=73.323708,54.98031&amp;z=17","открыть")</f>
        <v>открыть</v>
      </c>
      <c r="G300" s="2" t="str">
        <f>HYPERLINK("https://mediafasadomsk.com/surfaces/bb-koneva-azs-lukojl-sprava-a-900.jpg","смотреть")</f>
        <v>смотреть</v>
      </c>
      <c r="H300">
        <v>54.98031</v>
      </c>
      <c r="I300">
        <v>73.323708</v>
      </c>
    </row>
    <row r="301">
      <c r="A301">
        <v>300</v>
      </c>
      <c r="B301" t="inlineStr">
        <is>
          <t xml:space="preserve">Конева (АЗС Лукойл) справа</t>
        </is>
      </c>
      <c r="C301" t="inlineStr">
        <is>
          <t xml:space="preserve">Призматрон</t>
        </is>
      </c>
      <c r="D301" t="inlineStr">
        <is>
          <t xml:space="preserve">6×3</t>
        </is>
      </c>
      <c r="E301" t="inlineStr">
        <is>
          <t xml:space="preserve">A</t>
        </is>
      </c>
      <c r="F301" s="2" t="str">
        <f>HYPERLINK("https://yandex.ru/maps/?pt=73.323708,54.98031&amp;z=17","открыть")</f>
        <v>открыть</v>
      </c>
      <c r="G301" s="2" t="str">
        <f>HYPERLINK("https://mediafasadomsk.com/surfaces/bb-koneva-azs-lukojl-sprava-a-a-900.jpg","смотреть")</f>
        <v>смотреть</v>
      </c>
      <c r="H301">
        <v>54.98031</v>
      </c>
      <c r="I301">
        <v>73.323708</v>
      </c>
    </row>
    <row r="302">
      <c r="A302">
        <v>301</v>
      </c>
      <c r="B302" t="inlineStr">
        <is>
          <t xml:space="preserve">Конева (АЗС Лукойл) справа</t>
        </is>
      </c>
      <c r="C302" t="inlineStr">
        <is>
          <t xml:space="preserve">Билборд</t>
        </is>
      </c>
      <c r="D302" t="inlineStr">
        <is>
          <t xml:space="preserve">6×3</t>
        </is>
      </c>
      <c r="E302" t="inlineStr">
        <is>
          <t xml:space="preserve">B</t>
        </is>
      </c>
      <c r="F302" s="2" t="str">
        <f>HYPERLINK("https://yandex.ru/maps/?pt=73.323708,54.98031&amp;z=17","открыть")</f>
        <v>открыть</v>
      </c>
      <c r="G302" s="2" t="str">
        <f>HYPERLINK("https://mediafasadomsk.com/surfaces/bb-koneva-azs-lukojl-sprava-b-a-900.jpg","смотреть")</f>
        <v>смотреть</v>
      </c>
      <c r="H302">
        <v>54.98031</v>
      </c>
      <c r="I302">
        <v>73.323708</v>
      </c>
    </row>
    <row r="303">
      <c r="A303">
        <v>302</v>
      </c>
      <c r="B303" t="inlineStr">
        <is>
          <t xml:space="preserve">Конева, 12</t>
        </is>
      </c>
      <c r="C303" t="inlineStr">
        <is>
          <t xml:space="preserve">Призматрон</t>
        </is>
      </c>
      <c r="D303" t="inlineStr">
        <is>
          <t xml:space="preserve">6×3</t>
        </is>
      </c>
      <c r="E303" t="inlineStr">
        <is>
          <t xml:space="preserve">A1</t>
        </is>
      </c>
      <c r="F303" s="2" t="str">
        <f>HYPERLINK("https://yandex.ru/maps/?pt=73.32789849692544,54.98217539398691&amp;z=17","открыть")</f>
        <v>открыть</v>
      </c>
      <c r="G303" s="2" t="str">
        <f>HYPERLINK("https://mediafasadomsk.com/surfaces/bb-koneva-ul-12-a-900.jpg","смотреть")</f>
        <v>смотреть</v>
      </c>
      <c r="H303">
        <v>54.98217539398691</v>
      </c>
      <c r="I303">
        <v>73.32789849692544</v>
      </c>
    </row>
    <row r="304">
      <c r="A304">
        <v>303</v>
      </c>
      <c r="B304" t="inlineStr">
        <is>
          <t xml:space="preserve">Конева, 12</t>
        </is>
      </c>
      <c r="C304" t="inlineStr">
        <is>
          <t xml:space="preserve">Билборд</t>
        </is>
      </c>
      <c r="D304" t="inlineStr">
        <is>
          <t xml:space="preserve">6×3</t>
        </is>
      </c>
      <c r="E304" t="inlineStr">
        <is>
          <t xml:space="preserve">B</t>
        </is>
      </c>
      <c r="F304" s="2" t="str">
        <f>HYPERLINK("https://yandex.ru/maps/?pt=73.32789849692544,54.98217539398691&amp;z=17","открыть")</f>
        <v>открыть</v>
      </c>
      <c r="G304" s="2" t="str">
        <f>HYPERLINK("https://mediafasadomsk.com/surfaces/bb-koneva-ul-12-b-a-900.jpg","смотреть")</f>
        <v>смотреть</v>
      </c>
      <c r="H304">
        <v>54.98217539398691</v>
      </c>
      <c r="I304">
        <v>73.32789849692544</v>
      </c>
    </row>
    <row r="305">
      <c r="A305">
        <v>304</v>
      </c>
      <c r="B305" t="inlineStr">
        <is>
          <t xml:space="preserve">Конева, 14-18, центральная разделительная полоса, 120 м до пересечения с улицей 70 лет Октября (светофор, ТЦ «Festival City»)</t>
        </is>
      </c>
      <c r="C305" t="inlineStr">
        <is>
          <t xml:space="preserve">Билборд</t>
        </is>
      </c>
      <c r="D305" t="inlineStr">
        <is>
          <t xml:space="preserve">6×3</t>
        </is>
      </c>
      <c r="E305" t="inlineStr">
        <is>
          <t xml:space="preserve">B</t>
        </is>
      </c>
      <c r="F305" s="2" t="str">
        <f>HYPERLINK("https://yandex.ru/maps/?pt=73.32231938884375,54.97998505048482&amp;z=17","открыть")</f>
        <v>открыть</v>
      </c>
      <c r="G305" s="2" t="str">
        <f>HYPERLINK("https://mediafasadomsk.com/surfaces/bb-koneva-ul-14-18-crp-120-m-do-h-s-ul-70-let-oktyabrya-svetofor-tc-festival-city-a-900.jpg","смотреть")</f>
        <v>смотреть</v>
      </c>
      <c r="H305">
        <v>54.97998505048482</v>
      </c>
      <c r="I305">
        <v>73.32231938884375</v>
      </c>
    </row>
    <row r="306">
      <c r="A306">
        <v>305</v>
      </c>
      <c r="B306" t="inlineStr">
        <is>
          <t xml:space="preserve">Конева, 14-18, центральная разделительная полоса, 120 м после пересечения с улицей 70 лет Октября (светофор, ТЦ «Festival City»)</t>
        </is>
      </c>
      <c r="C306" t="inlineStr">
        <is>
          <t xml:space="preserve">Билборд</t>
        </is>
      </c>
      <c r="D306" t="inlineStr">
        <is>
          <t xml:space="preserve">6×3</t>
        </is>
      </c>
      <c r="E306" t="inlineStr">
        <is>
          <t xml:space="preserve">A</t>
        </is>
      </c>
      <c r="F306" s="2" t="str">
        <f>HYPERLINK("https://yandex.ru/maps/?pt=73.32231938884375,54.97998505048482&amp;z=17","открыть")</f>
        <v>открыть</v>
      </c>
      <c r="G306" s="2" t="str">
        <f>HYPERLINK("https://mediafasadomsk.com/surfaces/bb-koneva-ul-14-18-crp-120-m-posle-h-s-ul-70-let-oktyabrya-svetofor-tc-festival-city-a-900.jpg","смотреть")</f>
        <v>смотреть</v>
      </c>
      <c r="H306">
        <v>54.97998505048482</v>
      </c>
      <c r="I306">
        <v>73.32231938884375</v>
      </c>
    </row>
    <row r="307">
      <c r="A307">
        <v>306</v>
      </c>
      <c r="B307" t="inlineStr">
        <is>
          <t xml:space="preserve">Конева, 14-18, пересечение с улицей 70 лет Октября (светофор, ТЦ «Festival City»)</t>
        </is>
      </c>
      <c r="C307" t="inlineStr">
        <is>
          <t xml:space="preserve">Цифровой билборд</t>
        </is>
      </c>
      <c r="D307" t="inlineStr">
        <is>
          <t xml:space="preserve">6×3</t>
        </is>
      </c>
      <c r="E307" t="inlineStr">
        <is>
          <t xml:space="preserve">A1</t>
        </is>
      </c>
      <c r="F307" s="2" t="str">
        <f>HYPERLINK("https://yandex.ru/maps/?pt=73.32361229038737,54.98065137315574&amp;z=17","открыть")</f>
        <v>открыть</v>
      </c>
      <c r="G307" s="2" t="str">
        <f>HYPERLINK("https://mediafasadomsk.com/surfaces/bb-koneva-ul-14-18-h-s-ul-70-let-oktyabrya-svetofor-tc-festival-city-a-900.jpg","смотреть")</f>
        <v>смотреть</v>
      </c>
      <c r="H307">
        <v>54.98065137315574</v>
      </c>
      <c r="I307">
        <v>73.32361229038737</v>
      </c>
    </row>
    <row r="308">
      <c r="A308">
        <v>307</v>
      </c>
      <c r="B308" t="inlineStr">
        <is>
          <t xml:space="preserve">Конева, 14А, до пересечения с улицей 70 лет Октября (светофор, ТЦ «Festival City»)</t>
        </is>
      </c>
      <c r="C308" t="inlineStr">
        <is>
          <t xml:space="preserve">Цифровой билборд</t>
        </is>
      </c>
      <c r="D308" t="inlineStr">
        <is>
          <t xml:space="preserve">6×3</t>
        </is>
      </c>
      <c r="E308" t="inlineStr">
        <is>
          <t xml:space="preserve">A1</t>
        </is>
      </c>
      <c r="F308" s="2" t="str">
        <f>HYPERLINK("https://yandex.ru/maps/?pt=73.32429897242838,54.98092558395541&amp;z=17","открыть")</f>
        <v>открыть</v>
      </c>
      <c r="G308" s="2" t="str">
        <f>HYPERLINK("https://mediafasadomsk.com/surfaces/bb-koneva-ul-14a-do-h-s-ul-70-let-oktyabrya-svetofor-tc-festival-city-a-900.jpg","смотреть")</f>
        <v>смотреть</v>
      </c>
      <c r="H308">
        <v>54.98092558395541</v>
      </c>
      <c r="I308">
        <v>73.32429897242838</v>
      </c>
    </row>
    <row r="309">
      <c r="A309">
        <v>308</v>
      </c>
      <c r="B309" t="inlineStr">
        <is>
          <t xml:space="preserve">Конева, 14А, до пересечения с улицей 70 лет Октября (светофор, ТЦ «Festival City»)</t>
        </is>
      </c>
      <c r="C309" t="inlineStr">
        <is>
          <t xml:space="preserve">Билборд</t>
        </is>
      </c>
      <c r="D309" t="inlineStr">
        <is>
          <t xml:space="preserve">6×3</t>
        </is>
      </c>
      <c r="E309" t="inlineStr">
        <is>
          <t xml:space="preserve">B</t>
        </is>
      </c>
      <c r="F309" s="2" t="str">
        <f>HYPERLINK("https://yandex.ru/maps/?pt=73.32429897242838,54.98092558395541&amp;z=17","открыть")</f>
        <v>открыть</v>
      </c>
      <c r="G309" s="2" t="str">
        <f>HYPERLINK("https://mediafasadomsk.com/surfaces/bb-koneva-ul-14a-do-h-s-ul-70-let-oktyabrya-svetofor-tc-festival-city-b-a-900.jpg","смотреть")</f>
        <v>смотреть</v>
      </c>
      <c r="H309">
        <v>54.98092558395541</v>
      </c>
      <c r="I309">
        <v>73.32429897242838</v>
      </c>
    </row>
    <row r="310">
      <c r="A310">
        <v>309</v>
      </c>
      <c r="B310" t="inlineStr">
        <is>
          <t xml:space="preserve">Конева, напротив дома 18 (светофор, ТЦ «Континент»)</t>
        </is>
      </c>
      <c r="C310" t="inlineStr">
        <is>
          <t xml:space="preserve">Билборд</t>
        </is>
      </c>
      <c r="D310" t="inlineStr">
        <is>
          <t xml:space="preserve">6×3</t>
        </is>
      </c>
      <c r="E310" t="inlineStr">
        <is>
          <t xml:space="preserve">A, B</t>
        </is>
      </c>
      <c r="F310" s="2" t="str">
        <f>HYPERLINK("https://yandex.ru/maps/?pt=73.31873595760014,54.978248768860176&amp;z=17","открыть")</f>
        <v>открыть</v>
      </c>
      <c r="G310" s="2" t="str">
        <f>HYPERLINK("https://mediafasadomsk.com/surfaces/bb-koneva-ul-18-naprotiv-svetofor-tc-kontinent-a-900.jpg","смотреть")</f>
        <v>смотреть</v>
      </c>
      <c r="H310">
        <v>54.978248768860176</v>
      </c>
      <c r="I310">
        <v>73.31873595760014</v>
      </c>
    </row>
    <row r="311">
      <c r="A311">
        <v>310</v>
      </c>
      <c r="B311" t="inlineStr">
        <is>
          <t xml:space="preserve">Конева, 31/1</t>
        </is>
      </c>
      <c r="C311" t="inlineStr">
        <is>
          <t xml:space="preserve">Билборд</t>
        </is>
      </c>
      <c r="D311" t="inlineStr">
        <is>
          <t xml:space="preserve">6×3</t>
        </is>
      </c>
      <c r="E311" t="inlineStr">
        <is>
          <t xml:space="preserve">A, B</t>
        </is>
      </c>
      <c r="F311" s="2" t="str">
        <f>HYPERLINK("https://yandex.ru/maps/?pt=73.3158713583715,54.97726360933464&amp;z=17","открыть")</f>
        <v>открыть</v>
      </c>
      <c r="G311" s="2" t="str">
        <f>HYPERLINK("https://mediafasadomsk.com/surfaces/bb-koneva-ul-31-1-a-900.jpg","смотреть")</f>
        <v>смотреть</v>
      </c>
      <c r="H311">
        <v>54.97726360933464</v>
      </c>
      <c r="I311">
        <v>73.3158713583715</v>
      </c>
    </row>
    <row r="312">
      <c r="A312">
        <v>311</v>
      </c>
      <c r="B312" t="inlineStr">
        <is>
          <t xml:space="preserve">Конева, 35А (у пересечения с улицей Ватутина, светофор)</t>
        </is>
      </c>
      <c r="C312" t="inlineStr">
        <is>
          <t xml:space="preserve">Билборд</t>
        </is>
      </c>
      <c r="D312" t="inlineStr">
        <is>
          <t xml:space="preserve">6×3</t>
        </is>
      </c>
      <c r="E312" t="inlineStr">
        <is>
          <t xml:space="preserve">A, B</t>
        </is>
      </c>
      <c r="F312" s="2" t="str">
        <f>HYPERLINK("https://yandex.ru/maps/?pt=73.30505669162397,54.97350442055687&amp;z=17","открыть")</f>
        <v>открыть</v>
      </c>
      <c r="G312" s="2" t="str">
        <f>HYPERLINK("https://mediafasadomsk.com/surfaces/bb-koneva-ul-35a-h-s-ul-vatutina-svetofor-a-900.jpg","смотреть")</f>
        <v>смотреть</v>
      </c>
      <c r="H312">
        <v>54.97350442055687</v>
      </c>
      <c r="I312">
        <v>73.30505669162397</v>
      </c>
    </row>
    <row r="313">
      <c r="A313">
        <v>312</v>
      </c>
      <c r="B313" t="inlineStr">
        <is>
          <t xml:space="preserve">Конева, 35/2 (светофор)</t>
        </is>
      </c>
      <c r="C313" t="inlineStr">
        <is>
          <t xml:space="preserve">Цифровой билборд</t>
        </is>
      </c>
      <c r="D313" t="inlineStr">
        <is>
          <t xml:space="preserve">6×3</t>
        </is>
      </c>
      <c r="E313" t="inlineStr">
        <is>
          <t xml:space="preserve">A1</t>
        </is>
      </c>
      <c r="F313" s="2" t="str">
        <f>HYPERLINK("https://yandex.ru/maps/?pt=73.31309258983285,54.97630921585691&amp;z=17","открыть")</f>
        <v>открыть</v>
      </c>
      <c r="G313" s="2" t="str">
        <f>HYPERLINK("https://mediafasadomsk.com/surfaces/bb-koneva-ul-35k2-svetofor-a-900.jpg","смотреть")</f>
        <v>смотреть</v>
      </c>
      <c r="H313">
        <v>54.97630921585691</v>
      </c>
      <c r="I313">
        <v>73.31309258983285</v>
      </c>
    </row>
    <row r="314">
      <c r="A314">
        <v>313</v>
      </c>
      <c r="B314" t="inlineStr">
        <is>
          <t xml:space="preserve">Конева, 35/2 (светофор)</t>
        </is>
      </c>
      <c r="C314" t="inlineStr">
        <is>
          <t xml:space="preserve">Билборд</t>
        </is>
      </c>
      <c r="D314" t="inlineStr">
        <is>
          <t xml:space="preserve">6×3</t>
        </is>
      </c>
      <c r="E314" t="inlineStr">
        <is>
          <t xml:space="preserve">B</t>
        </is>
      </c>
      <c r="F314" s="2" t="str">
        <f>HYPERLINK("https://yandex.ru/maps/?pt=73.31309258983285,54.97630921585691&amp;z=17","открыть")</f>
        <v>открыть</v>
      </c>
      <c r="G314" s="2" t="str">
        <f>HYPERLINK("https://mediafasadomsk.com/surfaces/bb-koneva-ul-35k2-svetofor-b-a-900.jpg","смотреть")</f>
        <v>смотреть</v>
      </c>
      <c r="H314">
        <v>54.97630921585691</v>
      </c>
      <c r="I314">
        <v>73.31309258983285</v>
      </c>
    </row>
    <row r="315">
      <c r="A315">
        <v>314</v>
      </c>
      <c r="B315" t="inlineStr">
        <is>
          <t xml:space="preserve">Конева, 6</t>
        </is>
      </c>
      <c r="C315" t="inlineStr">
        <is>
          <t xml:space="preserve">Билборд</t>
        </is>
      </c>
      <c r="D315" t="inlineStr">
        <is>
          <t xml:space="preserve">6×3</t>
        </is>
      </c>
      <c r="E315" t="inlineStr">
        <is>
          <t xml:space="preserve">A</t>
        </is>
      </c>
      <c r="F315" s="2" t="str">
        <f>HYPERLINK("https://yandex.ru/maps/?pt=73.332706,54.983854&amp;z=17","открыть")</f>
        <v>открыть</v>
      </c>
      <c r="G315" s="2" t="str">
        <f>HYPERLINK("https://mediafasadomsk.com/surfaces/bb-koneva-ul-6-a-900.jpg","смотреть")</f>
        <v>смотреть</v>
      </c>
      <c r="H315">
        <v>54.983854</v>
      </c>
      <c r="I315">
        <v>73.332706</v>
      </c>
    </row>
    <row r="316">
      <c r="A316">
        <v>315</v>
      </c>
      <c r="B316" t="inlineStr">
        <is>
          <t xml:space="preserve">Конева, 6, центральная разделительная полоса, до пересечения с улицей Енисейская 3-я (светофор)</t>
        </is>
      </c>
      <c r="C316" t="inlineStr">
        <is>
          <t xml:space="preserve">Цифровой билборд</t>
        </is>
      </c>
      <c r="D316" t="inlineStr">
        <is>
          <t xml:space="preserve">6×3</t>
        </is>
      </c>
      <c r="E316" t="inlineStr">
        <is>
          <t xml:space="preserve">B1</t>
        </is>
      </c>
      <c r="F316" s="2" t="str">
        <f>HYPERLINK("https://yandex.ru/maps/?pt=73.33375300329169,54.98383342917196&amp;z=17","открыть")</f>
        <v>открыть</v>
      </c>
      <c r="G316" s="2" t="str">
        <f>HYPERLINK("https://mediafasadomsk.com/surfaces/bb-koneva-ul-6-crp-do-h-s-ul-enisejskaya-3-ya-svetofor-a-900.jpg","смотреть")</f>
        <v>смотреть</v>
      </c>
      <c r="H316">
        <v>54.98383342917196</v>
      </c>
      <c r="I316">
        <v>73.33375300329169</v>
      </c>
    </row>
    <row r="317">
      <c r="A317">
        <v>316</v>
      </c>
      <c r="B317" t="inlineStr">
        <is>
          <t xml:space="preserve">Конева, 6, центральная разделительная полоса, после пересечения с улицей Енисейская 3-я (светофор)</t>
        </is>
      </c>
      <c r="C317" t="inlineStr">
        <is>
          <t xml:space="preserve">Цифровой билборд</t>
        </is>
      </c>
      <c r="D317" t="inlineStr">
        <is>
          <t xml:space="preserve">6×3</t>
        </is>
      </c>
      <c r="E317" t="inlineStr">
        <is>
          <t xml:space="preserve">A1</t>
        </is>
      </c>
      <c r="F317" s="2" t="str">
        <f>HYPERLINK("https://yandex.ru/maps/?pt=73.33375300329169,54.98383342917196&amp;z=17","открыть")</f>
        <v>открыть</v>
      </c>
      <c r="G317" s="2" t="str">
        <f>HYPERLINK("https://mediafasadomsk.com/surfaces/bb-koneva-ul-6-crp-posle-h-s-ul-enisejskaya-3-ya-svetofor-a-900.jpg","смотреть")</f>
        <v>смотреть</v>
      </c>
      <c r="H317">
        <v>54.98383342917196</v>
      </c>
      <c r="I317">
        <v>73.33375300329169</v>
      </c>
    </row>
    <row r="318">
      <c r="A318">
        <v>317</v>
      </c>
      <c r="B318" t="inlineStr">
        <is>
          <t xml:space="preserve">Конева, 6, после пересечения с улицей Енисейская 3-я (светофор)</t>
        </is>
      </c>
      <c r="C318" t="inlineStr">
        <is>
          <t xml:space="preserve">Билборд</t>
        </is>
      </c>
      <c r="D318" t="inlineStr">
        <is>
          <t xml:space="preserve">6×3</t>
        </is>
      </c>
      <c r="E318" t="inlineStr">
        <is>
          <t xml:space="preserve">A, B</t>
        </is>
      </c>
      <c r="F318" s="2" t="str">
        <f>HYPERLINK("https://yandex.ru/maps/?pt=73.3337510769944,54.984006925444284&amp;z=17","открыть")</f>
        <v>открыть</v>
      </c>
      <c r="G318" s="2" t="str">
        <f>HYPERLINK("https://mediafasadomsk.com/surfaces/bb-koneva-ul-6-posle-h-s-ul-enisejskaya-3-ya-svetofor-a-900.jpg","смотреть")</f>
        <v>смотреть</v>
      </c>
      <c r="H318">
        <v>54.984006925444284</v>
      </c>
      <c r="I318">
        <v>73.3337510769944</v>
      </c>
    </row>
    <row r="319">
      <c r="A319">
        <v>318</v>
      </c>
      <c r="B319" t="inlineStr">
        <is>
          <t xml:space="preserve">Конева, 65</t>
        </is>
      </c>
      <c r="C319" t="inlineStr">
        <is>
          <t xml:space="preserve">Цифровой билборд</t>
        </is>
      </c>
      <c r="D319" t="inlineStr">
        <is>
          <t xml:space="preserve">6×3</t>
        </is>
      </c>
      <c r="E319" t="inlineStr">
        <is>
          <t xml:space="preserve">A</t>
        </is>
      </c>
      <c r="F319" s="2" t="str">
        <f>HYPERLINK("https://yandex.ru/maps/?pt=73.305205,54.973228&amp;z=17","открыть")</f>
        <v>открыть</v>
      </c>
      <c r="G319" s="2" t="str">
        <f>HYPERLINK("https://mediafasadomsk.com/surfaces/bb-koneva-ul-65-a-900.jpg","смотреть")</f>
        <v>смотреть</v>
      </c>
      <c r="H319">
        <v>54.973228</v>
      </c>
      <c r="I319">
        <v>73.305205</v>
      </c>
    </row>
    <row r="320">
      <c r="A320">
        <v>319</v>
      </c>
      <c r="B320" t="inlineStr">
        <is>
          <t xml:space="preserve">Конева, 65</t>
        </is>
      </c>
      <c r="C320" t="inlineStr">
        <is>
          <t xml:space="preserve">Билборд</t>
        </is>
      </c>
      <c r="D320" t="inlineStr">
        <is>
          <t xml:space="preserve">6×3</t>
        </is>
      </c>
      <c r="E320" t="inlineStr">
        <is>
          <t xml:space="preserve">B</t>
        </is>
      </c>
      <c r="F320" s="2" t="str">
        <f>HYPERLINK("https://yandex.ru/maps/?pt=73.305205,54.973228&amp;z=17","открыть")</f>
        <v>открыть</v>
      </c>
      <c r="G320" s="2" t="str">
        <f>HYPERLINK("https://mediafasadomsk.com/surfaces/bb-koneva-ul-65-b-a-900.jpg","смотреть")</f>
        <v>смотреть</v>
      </c>
      <c r="H320">
        <v>54.973228</v>
      </c>
      <c r="I320">
        <v>73.305205</v>
      </c>
    </row>
    <row r="321">
      <c r="A321">
        <v>320</v>
      </c>
      <c r="B321" t="inlineStr">
        <is>
          <t xml:space="preserve">Конева, 85 (светофор)</t>
        </is>
      </c>
      <c r="C321" t="inlineStr">
        <is>
          <t xml:space="preserve">Призматрон</t>
        </is>
      </c>
      <c r="D321" t="inlineStr">
        <is>
          <t xml:space="preserve">6×3</t>
        </is>
      </c>
      <c r="E321" t="inlineStr">
        <is>
          <t xml:space="preserve">A1</t>
        </is>
      </c>
      <c r="F321" s="2" t="str">
        <f>HYPERLINK("https://yandex.ru/maps/?pt=73.30345809505155,54.97292865698576&amp;z=17","открыть")</f>
        <v>открыть</v>
      </c>
      <c r="G321" s="2" t="str">
        <f>HYPERLINK("https://mediafasadomsk.com/surfaces/bb-koneva-ul-85-svetofor-a-900.jpg","смотреть")</f>
        <v>смотреть</v>
      </c>
      <c r="H321">
        <v>54.97292865698576</v>
      </c>
      <c r="I321">
        <v>73.30345809505155</v>
      </c>
    </row>
    <row r="322">
      <c r="A322">
        <v>321</v>
      </c>
      <c r="B322" t="inlineStr">
        <is>
          <t xml:space="preserve">Конева, 85 (светофор)</t>
        </is>
      </c>
      <c r="C322" t="inlineStr">
        <is>
          <t xml:space="preserve">Билборд</t>
        </is>
      </c>
      <c r="D322" t="inlineStr">
        <is>
          <t xml:space="preserve">6×3</t>
        </is>
      </c>
      <c r="E322" t="inlineStr">
        <is>
          <t xml:space="preserve">B</t>
        </is>
      </c>
      <c r="F322" s="2" t="str">
        <f>HYPERLINK("https://yandex.ru/maps/?pt=73.30345809505155,54.97292865698576&amp;z=17","открыть")</f>
        <v>открыть</v>
      </c>
      <c r="G322" s="2" t="str">
        <f>HYPERLINK("https://mediafasadomsk.com/surfaces/bb-koneva-ul-85-svetofor-b-a-900.jpg","смотреть")</f>
        <v>смотреть</v>
      </c>
      <c r="H322">
        <v>54.97292865698576</v>
      </c>
      <c r="I322">
        <v>73.30345809505155</v>
      </c>
    </row>
    <row r="323">
      <c r="A323">
        <v>322</v>
      </c>
      <c r="B323" t="inlineStr">
        <is>
          <t xml:space="preserve">Конева, 89 (ТЦ «Мега»)</t>
        </is>
      </c>
      <c r="C323" t="inlineStr">
        <is>
          <t xml:space="preserve">Билборд</t>
        </is>
      </c>
      <c r="D323" t="inlineStr">
        <is>
          <t xml:space="preserve">6×3</t>
        </is>
      </c>
      <c r="E323" t="inlineStr">
        <is>
          <t xml:space="preserve">A, B</t>
        </is>
      </c>
      <c r="F323" s="2" t="str">
        <f>HYPERLINK("https://yandex.ru/maps/?pt=73.29767536574849,54.970919528134004&amp;z=17","открыть")</f>
        <v>открыть</v>
      </c>
      <c r="G323" s="2" t="str">
        <f>HYPERLINK("https://mediafasadomsk.com/surfaces/bb-koneva-ul-89-tc-mega-a-900.jpg","смотреть")</f>
        <v>смотреть</v>
      </c>
      <c r="H323">
        <v>54.970919528134004</v>
      </c>
      <c r="I323">
        <v>73.29767536574849</v>
      </c>
    </row>
    <row r="324">
      <c r="A324">
        <v>323</v>
      </c>
      <c r="B324" t="inlineStr">
        <is>
          <t xml:space="preserve">Конева, нечётная сторона, 160 м после пересечения с улицей 70 лет Октября</t>
        </is>
      </c>
      <c r="C324" t="inlineStr">
        <is>
          <t xml:space="preserve">Билборд</t>
        </is>
      </c>
      <c r="D324" t="inlineStr">
        <is>
          <t xml:space="preserve">6×3</t>
        </is>
      </c>
      <c r="E324" t="inlineStr">
        <is>
          <t xml:space="preserve">A</t>
        </is>
      </c>
      <c r="F324" s="2" t="str">
        <f>HYPERLINK("https://yandex.ru/maps/?pt=73.32804549000008,54.98079648000002&amp;z=17","открыть")</f>
        <v>открыть</v>
      </c>
      <c r="G324" s="2" t="str">
        <f>HYPERLINK("https://mediafasadomsk.com/surfaces/bb-koneva-ul-nechetnaya-storona-160-m-posle-h-s-ul-70-let-oktyabrya-a-900.jpg","смотреть")</f>
        <v>смотреть</v>
      </c>
      <c r="H324">
        <v>54.98079648000002</v>
      </c>
      <c r="I324">
        <v>73.32804549000008</v>
      </c>
    </row>
    <row r="325">
      <c r="A325">
        <v>324</v>
      </c>
      <c r="B325" t="inlineStr">
        <is>
          <t xml:space="preserve">Конева, нечётная сторона, 300 м до пересечения с улицей 70 лет Октября (светофор, ТЦ «Континент»)</t>
        </is>
      </c>
      <c r="C325" t="inlineStr">
        <is>
          <t xml:space="preserve">Билборд</t>
        </is>
      </c>
      <c r="D325" t="inlineStr">
        <is>
          <t xml:space="preserve">6×3</t>
        </is>
      </c>
      <c r="E325" t="inlineStr">
        <is>
          <t xml:space="preserve">A, B</t>
        </is>
      </c>
      <c r="F325" s="2" t="str">
        <f>HYPERLINK("https://yandex.ru/maps/?pt=73.32047402904226,54.97885216161005&amp;z=17","открыть")</f>
        <v>открыть</v>
      </c>
      <c r="G325" s="2" t="str">
        <f>HYPERLINK("https://mediafasadomsk.com/surfaces/bb-koneva-ul-nechetnaya-storona-300-m-do-h-s-ul-70-let-oktyabrya-svetofor-tc-kontinent-a-900.jpg","смотреть")</f>
        <v>смотреть</v>
      </c>
      <c r="H325">
        <v>54.97885216161005</v>
      </c>
      <c r="I325">
        <v>73.32047402904226</v>
      </c>
    </row>
    <row r="326">
      <c r="A326">
        <v>325</v>
      </c>
      <c r="B326" t="inlineStr">
        <is>
          <t xml:space="preserve">Конева, нечётная сторона, после пересечения с улицей 70 лет Октября (светофор, ТЦ «Континент»)</t>
        </is>
      </c>
      <c r="C326" t="inlineStr">
        <is>
          <t xml:space="preserve">Цифровой билборд</t>
        </is>
      </c>
      <c r="D326" t="inlineStr">
        <is>
          <t xml:space="preserve">6×3</t>
        </is>
      </c>
      <c r="E326" t="inlineStr">
        <is>
          <t xml:space="preserve">A1</t>
        </is>
      </c>
      <c r="F326" s="2" t="str">
        <f>HYPERLINK("https://yandex.ru/maps/?pt=73.3258092831895,54.980027522396654&amp;z=17","открыть")</f>
        <v>открыть</v>
      </c>
      <c r="G326" s="2" t="str">
        <f>HYPERLINK("https://mediafasadomsk.com/surfaces/bb-koneva-ul-nechetnaya-storona-posle-h-s-ul-70-let-oktyabrya-svetofor-tc-kontinent-a-900.jpg","смотреть")</f>
        <v>смотреть</v>
      </c>
      <c r="H326">
        <v>54.980027522396654</v>
      </c>
      <c r="I326">
        <v>73.3258092831895</v>
      </c>
    </row>
    <row r="327">
      <c r="A327">
        <v>326</v>
      </c>
      <c r="B327" t="inlineStr">
        <is>
          <t xml:space="preserve">Конева, перед остановкой Строймаркет Новосёл (в сторону моста имени 60 лет Победы)</t>
        </is>
      </c>
      <c r="C327" t="inlineStr">
        <is>
          <t xml:space="preserve">Билборд</t>
        </is>
      </c>
      <c r="D327" t="inlineStr">
        <is>
          <t xml:space="preserve">6×3</t>
        </is>
      </c>
      <c r="E327" t="inlineStr">
        <is>
          <t xml:space="preserve">A</t>
        </is>
      </c>
      <c r="F327" s="2" t="str">
        <f>HYPERLINK("https://yandex.ru/maps/?pt=73.326625,54.980284&amp;z=17","открыть")</f>
        <v>открыть</v>
      </c>
      <c r="G327" s="2" t="str">
        <f>HYPERLINK("https://mediafasadomsk.com/surfaces/bb-koneva-ul-pered-oot-strojmarket-novosel-v-storonu-mosta-im-60-let-pobedy-a-900.jpg","смотреть")</f>
        <v>смотреть</v>
      </c>
      <c r="H327">
        <v>54.980284</v>
      </c>
      <c r="I327">
        <v>73.326625</v>
      </c>
    </row>
    <row r="328">
      <c r="A328">
        <v>327</v>
      </c>
      <c r="B328" t="inlineStr">
        <is>
          <t xml:space="preserve">Проспект Академика Королёва, 10</t>
        </is>
      </c>
      <c r="C328" t="inlineStr">
        <is>
          <t xml:space="preserve">Билборд</t>
        </is>
      </c>
      <c r="D328" t="inlineStr">
        <is>
          <t xml:space="preserve">6×3</t>
        </is>
      </c>
      <c r="E328" t="inlineStr">
        <is>
          <t xml:space="preserve">A, B</t>
        </is>
      </c>
      <c r="F328" s="2" t="str">
        <f>HYPERLINK("https://yandex.ru/maps/?pt=73.30166906072382,55.03936785918787&amp;z=17","открыть")</f>
        <v>открыть</v>
      </c>
      <c r="G328" s="2" t="str">
        <f>HYPERLINK("https://mediafasadomsk.com/surfaces/bb-koroleva-prospekt-10-a-900.jpg","смотреть")</f>
        <v>смотреть</v>
      </c>
      <c r="H328">
        <v>55.03936785918787</v>
      </c>
      <c r="I328">
        <v>73.30166906072382</v>
      </c>
    </row>
    <row r="329">
      <c r="A329">
        <v>328</v>
      </c>
      <c r="B329" t="inlineStr">
        <is>
          <t xml:space="preserve">Проспект Академика Королёва, 14 (светофор)</t>
        </is>
      </c>
      <c r="C329" t="inlineStr">
        <is>
          <t xml:space="preserve">Билборд</t>
        </is>
      </c>
      <c r="D329" t="inlineStr">
        <is>
          <t xml:space="preserve">6×3</t>
        </is>
      </c>
      <c r="E329" t="inlineStr">
        <is>
          <t xml:space="preserve">A, B</t>
        </is>
      </c>
      <c r="F329" s="2" t="str">
        <f>HYPERLINK("https://yandex.ru/maps/?pt=73.305236398714,55.0383596129914&amp;z=17","открыть")</f>
        <v>открыть</v>
      </c>
      <c r="G329" s="2" t="str">
        <f>HYPERLINK("https://mediafasadomsk.com/surfaces/bb-koroleva-prospekt-14-svetofor-a-900.jpg","смотреть")</f>
        <v>смотреть</v>
      </c>
      <c r="H329">
        <v>55.0383596129914</v>
      </c>
      <c r="I329">
        <v>73.305236398714</v>
      </c>
    </row>
    <row r="330">
      <c r="A330">
        <v>329</v>
      </c>
      <c r="B330" t="inlineStr">
        <is>
          <t xml:space="preserve">Проспект Академика Королёва, 2, после пересечения с улицей Химиков (светофор)</t>
        </is>
      </c>
      <c r="C330" t="inlineStr">
        <is>
          <t xml:space="preserve">Билборд</t>
        </is>
      </c>
      <c r="D330" t="inlineStr">
        <is>
          <t xml:space="preserve">6×3</t>
        </is>
      </c>
      <c r="E330" t="inlineStr">
        <is>
          <t xml:space="preserve">A, B</t>
        </is>
      </c>
      <c r="F330" s="2" t="str">
        <f>HYPERLINK("https://yandex.ru/maps/?pt=73.29392820550721,55.04159021477176&amp;z=17","открыть")</f>
        <v>открыть</v>
      </c>
      <c r="G330" s="2" t="str">
        <f>HYPERLINK("https://mediafasadomsk.com/surfaces/bb-koroleva-prospekt-2-posle-h-s-ul-himikov-svetofor-a-900.jpg","смотреть")</f>
        <v>смотреть</v>
      </c>
      <c r="H330">
        <v>55.04159021477176</v>
      </c>
      <c r="I330">
        <v>73.29392820550721</v>
      </c>
    </row>
    <row r="331">
      <c r="A331">
        <v>330</v>
      </c>
      <c r="B331" t="inlineStr">
        <is>
          <t xml:space="preserve">Проспект Академика Королёва, 20/2, после пересечения с улицей Заозёрная (светофор, «Metro»)</t>
        </is>
      </c>
      <c r="C331" t="inlineStr">
        <is>
          <t xml:space="preserve">Призматрон</t>
        </is>
      </c>
      <c r="D331" t="inlineStr">
        <is>
          <t xml:space="preserve">6×3</t>
        </is>
      </c>
      <c r="E331" t="inlineStr">
        <is>
          <t xml:space="preserve">A1, B1</t>
        </is>
      </c>
      <c r="F331" s="2" t="str">
        <f>HYPERLINK("https://yandex.ru/maps/?pt=73.31302016927562,55.03629385892318&amp;z=17","открыть")</f>
        <v>открыть</v>
      </c>
      <c r="G331" s="2" t="str">
        <f>HYPERLINK("https://mediafasadomsk.com/surfaces/bb-koroleva-prospekt-20-2-posle-h-s-ul-zaozernaya-svetofor-metro-a-900.jpg","смотреть")</f>
        <v>смотреть</v>
      </c>
      <c r="H331">
        <v>55.03629385892318</v>
      </c>
      <c r="I331">
        <v>73.31302016927562</v>
      </c>
    </row>
    <row r="332">
      <c r="A332">
        <v>331</v>
      </c>
      <c r="B332" t="inlineStr">
        <is>
          <t xml:space="preserve">Проспект Академика Королёва, 32 (у пересечения с улицей Берёзовая, светофор)</t>
        </is>
      </c>
      <c r="C332" t="inlineStr">
        <is>
          <t xml:space="preserve">Билборд</t>
        </is>
      </c>
      <c r="D332" t="inlineStr">
        <is>
          <t xml:space="preserve">6×3</t>
        </is>
      </c>
      <c r="E332" t="inlineStr">
        <is>
          <t xml:space="preserve">A, B</t>
        </is>
      </c>
      <c r="F332" s="2" t="str">
        <f>HYPERLINK("https://yandex.ru/maps/?pt=73.33606034471417,55.029308856539714&amp;z=17","открыть")</f>
        <v>открыть</v>
      </c>
      <c r="G332" s="2" t="str">
        <f>HYPERLINK("https://mediafasadomsk.com/surfaces/bb-koroleva-prospekt-32-h-s-ul-berezovaya-svetofor-a-900.jpg","смотреть")</f>
        <v>смотреть</v>
      </c>
      <c r="H332">
        <v>55.029308856539714</v>
      </c>
      <c r="I332">
        <v>73.33606034471417</v>
      </c>
    </row>
    <row r="333">
      <c r="A333">
        <v>332</v>
      </c>
      <c r="B333" t="inlineStr">
        <is>
          <t xml:space="preserve">Проспект Академика Королёва, 34 (у пересечения с улицей Берёзовая, светофор)</t>
        </is>
      </c>
      <c r="C333" t="inlineStr">
        <is>
          <t xml:space="preserve">Билборд</t>
        </is>
      </c>
      <c r="D333" t="inlineStr">
        <is>
          <t xml:space="preserve">6×3</t>
        </is>
      </c>
      <c r="E333" t="inlineStr">
        <is>
          <t xml:space="preserve">A</t>
        </is>
      </c>
      <c r="F333" s="2" t="str">
        <f>HYPERLINK("https://yandex.ru/maps/?pt=73.33703130437755,55.02900752935546&amp;z=17","открыть")</f>
        <v>открыть</v>
      </c>
      <c r="G333" s="2" t="str">
        <f>HYPERLINK("https://mediafasadomsk.com/surfaces/bb-koroleva-prospekt-34-h-s-ul-berezovaya-svetofor-a-900.jpg","смотреть")</f>
        <v>смотреть</v>
      </c>
      <c r="H333">
        <v>55.02900752935546</v>
      </c>
      <c r="I333">
        <v>73.33703130437755</v>
      </c>
    </row>
    <row r="334">
      <c r="A334">
        <v>333</v>
      </c>
      <c r="B334" t="inlineStr">
        <is>
          <t xml:space="preserve">Проспект Академика Королёва, 4</t>
        </is>
      </c>
      <c r="C334" t="inlineStr">
        <is>
          <t xml:space="preserve">Билборд</t>
        </is>
      </c>
      <c r="D334" t="inlineStr">
        <is>
          <t xml:space="preserve">6×3</t>
        </is>
      </c>
      <c r="E334" t="inlineStr">
        <is>
          <t xml:space="preserve">A, B</t>
        </is>
      </c>
      <c r="F334" s="2" t="str">
        <f>HYPERLINK("https://yandex.ru/maps/?pt=73.29614907457108,55.04095087910049&amp;z=17","открыть")</f>
        <v>открыть</v>
      </c>
      <c r="G334" s="2" t="str">
        <f>HYPERLINK("https://mediafasadomsk.com/surfaces/bb-koroleva-prospekt-4-a-900.jpg","смотреть")</f>
        <v>смотреть</v>
      </c>
      <c r="H334">
        <v>55.04095087910049</v>
      </c>
      <c r="I334">
        <v>73.29614907457108</v>
      </c>
    </row>
    <row r="335">
      <c r="A335">
        <v>334</v>
      </c>
      <c r="B335" t="inlineStr">
        <is>
          <t xml:space="preserve">Проспект Академика Королёва, 6/2 (светофор)</t>
        </is>
      </c>
      <c r="C335" t="inlineStr">
        <is>
          <t xml:space="preserve">Билборд</t>
        </is>
      </c>
      <c r="D335" t="inlineStr">
        <is>
          <t xml:space="preserve">6×3</t>
        </is>
      </c>
      <c r="E335" t="inlineStr">
        <is>
          <t xml:space="preserve">A, B</t>
        </is>
      </c>
      <c r="F335" s="2" t="str">
        <f>HYPERLINK("https://yandex.ru/maps/?pt=73.29823583318516,55.04035456320783&amp;z=17","открыть")</f>
        <v>открыть</v>
      </c>
      <c r="G335" s="2" t="str">
        <f>HYPERLINK("https://mediafasadomsk.com/surfaces/bb-koroleva-prospekt-6-2-svetofor-a-900.jpg","смотреть")</f>
        <v>смотреть</v>
      </c>
      <c r="H335">
        <v>55.04035456320783</v>
      </c>
      <c r="I335">
        <v>73.29823583318516</v>
      </c>
    </row>
    <row r="336">
      <c r="A336">
        <v>335</v>
      </c>
      <c r="B336" t="inlineStr">
        <is>
          <t xml:space="preserve">Проспект Академика Королёва, нечётная сторона, после пересечения с переулком Башенный 1-й</t>
        </is>
      </c>
      <c r="C336" t="inlineStr">
        <is>
          <t xml:space="preserve">Цифровой билборд</t>
        </is>
      </c>
      <c r="D336" t="inlineStr">
        <is>
          <t xml:space="preserve">6×3</t>
        </is>
      </c>
      <c r="E336" t="inlineStr">
        <is>
          <t xml:space="preserve">A1, B1</t>
        </is>
      </c>
      <c r="F336" s="2" t="str">
        <f>HYPERLINK("https://yandex.ru/maps/?pt=73.3280851295242,55.03221193344301&amp;z=17","открыть")</f>
        <v>открыть</v>
      </c>
      <c r="G336" s="2" t="str">
        <f>HYPERLINK("https://mediafasadomsk.com/surfaces/bb-koroleva-prospekt-nechetnaya-storona-posle-h-s-per-bashennyj-1-j-a-900.jpg","смотреть")</f>
        <v>смотреть</v>
      </c>
      <c r="H336">
        <v>55.03221193344301</v>
      </c>
      <c r="I336">
        <v>73.3280851295242</v>
      </c>
    </row>
    <row r="337">
      <c r="A337">
        <v>336</v>
      </c>
      <c r="B337" t="inlineStr">
        <is>
          <t xml:space="preserve">Проспект Академика Королёва, 18 (у пересечения с улицей Заозёрная, светофор, «Metro»)</t>
        </is>
      </c>
      <c r="C337" t="inlineStr">
        <is>
          <t xml:space="preserve">Цифровой билборд</t>
        </is>
      </c>
      <c r="D337" t="inlineStr">
        <is>
          <t xml:space="preserve">6×3</t>
        </is>
      </c>
      <c r="E337" t="inlineStr">
        <is>
          <t xml:space="preserve">A1</t>
        </is>
      </c>
      <c r="F337" s="2" t="str">
        <f>HYPERLINK("https://yandex.ru/maps/?pt=73.31115964470051,55.0364017962892&amp;z=17","открыть")</f>
        <v>открыть</v>
      </c>
      <c r="G337" s="2" t="str">
        <f>HYPERLINK("https://mediafasadomsk.com/surfaces/bb-koroleva-ul-18-h-s-ul-zaozernaya-svetofor-metro-a-900.jpg","смотреть")</f>
        <v>смотреть</v>
      </c>
      <c r="H337">
        <v>55.0364017962892</v>
      </c>
      <c r="I337">
        <v>73.31115964470051</v>
      </c>
    </row>
    <row r="338">
      <c r="A338">
        <v>337</v>
      </c>
      <c r="B338" t="inlineStr">
        <is>
          <t xml:space="preserve">Космический проспект, 17А</t>
        </is>
      </c>
      <c r="C338" t="inlineStr">
        <is>
          <t xml:space="preserve">Цифровой билборд</t>
        </is>
      </c>
      <c r="D338" t="inlineStr">
        <is>
          <t xml:space="preserve">6×3</t>
        </is>
      </c>
      <c r="E338" t="inlineStr">
        <is>
          <t xml:space="preserve">A, B</t>
        </is>
      </c>
      <c r="F338" s="2" t="str">
        <f>HYPERLINK("https://yandex.ru/maps/?pt=73.447224,54.969978&amp;z=17","открыть")</f>
        <v>открыть</v>
      </c>
      <c r="G338" s="2" t="str">
        <f>HYPERLINK("https://mediafasadomsk.com/surfaces/bb-kosmicheskij-pr-17a-a-900.jpg","смотреть")</f>
        <v>смотреть</v>
      </c>
      <c r="H338">
        <v>54.969978</v>
      </c>
      <c r="I338">
        <v>73.447224</v>
      </c>
    </row>
    <row r="339">
      <c r="A339">
        <v>338</v>
      </c>
      <c r="B339" t="inlineStr">
        <is>
          <t xml:space="preserve">Космический проспект, 17А</t>
        </is>
      </c>
      <c r="C339" t="inlineStr">
        <is>
          <t xml:space="preserve">Билборд</t>
        </is>
      </c>
      <c r="D339" t="inlineStr">
        <is>
          <t xml:space="preserve">6×3</t>
        </is>
      </c>
      <c r="E339" t="inlineStr">
        <is>
          <t xml:space="preserve">A, B</t>
        </is>
      </c>
      <c r="F339" s="2" t="str">
        <f>HYPERLINK("https://yandex.ru/maps/?pt=73.447224,54.969978&amp;z=17","открыть")</f>
        <v>открыть</v>
      </c>
      <c r="G339" s="2" t="str">
        <f>HYPERLINK("https://mediafasadomsk.com/surfaces/bb-kosmicheskij-pr-17a-2-a-900.jpg","смотреть")</f>
        <v>смотреть</v>
      </c>
      <c r="H339">
        <v>54.969978</v>
      </c>
      <c r="I339">
        <v>73.447224</v>
      </c>
    </row>
    <row r="340">
      <c r="A340">
        <v>339</v>
      </c>
      <c r="B340" t="inlineStr">
        <is>
          <t xml:space="preserve">Космический проспект, 22/2</t>
        </is>
      </c>
      <c r="C340" t="inlineStr">
        <is>
          <t xml:space="preserve">Билборд</t>
        </is>
      </c>
      <c r="D340" t="inlineStr">
        <is>
          <t xml:space="preserve">6×3</t>
        </is>
      </c>
      <c r="E340" t="inlineStr">
        <is>
          <t xml:space="preserve">A, B</t>
        </is>
      </c>
      <c r="F340" s="2" t="str">
        <f>HYPERLINK("https://yandex.ru/maps/?pt=73.453262,54.973183&amp;z=17","открыть")</f>
        <v>открыть</v>
      </c>
      <c r="G340" s="2" t="str">
        <f>HYPERLINK("https://mediafasadomsk.com/surfaces/bb-kosmicheskij-pr-22-2-a-900.jpg","смотреть")</f>
        <v>смотреть</v>
      </c>
      <c r="H340">
        <v>54.973183</v>
      </c>
      <c r="I340">
        <v>73.453262</v>
      </c>
    </row>
    <row r="341">
      <c r="A341">
        <v>340</v>
      </c>
      <c r="B341" t="inlineStr">
        <is>
          <t xml:space="preserve">Космический проспект, 28</t>
        </is>
      </c>
      <c r="C341" t="inlineStr">
        <is>
          <t xml:space="preserve">Билборд</t>
        </is>
      </c>
      <c r="D341" t="inlineStr">
        <is>
          <t xml:space="preserve">6×3</t>
        </is>
      </c>
      <c r="E341" t="inlineStr">
        <is>
          <t xml:space="preserve">A, B</t>
        </is>
      </c>
      <c r="F341" s="2" t="str">
        <f>HYPERLINK("https://yandex.ru/maps/?pt=73.465179,54.979464&amp;z=17","открыть")</f>
        <v>открыть</v>
      </c>
      <c r="G341" s="2" t="str">
        <f>HYPERLINK("https://mediafasadomsk.com/surfaces/bb-kosmicheskij-pr-28-a-900.jpg","смотреть")</f>
        <v>смотреть</v>
      </c>
      <c r="H341">
        <v>54.979464</v>
      </c>
      <c r="I341">
        <v>73.465179</v>
      </c>
    </row>
    <row r="342">
      <c r="A342">
        <v>341</v>
      </c>
      <c r="B342" t="inlineStr">
        <is>
          <t xml:space="preserve">Космический проспект, 7</t>
        </is>
      </c>
      <c r="C342" t="inlineStr">
        <is>
          <t xml:space="preserve">Билборд</t>
        </is>
      </c>
      <c r="D342" t="inlineStr">
        <is>
          <t xml:space="preserve">6×3</t>
        </is>
      </c>
      <c r="E342" t="inlineStr">
        <is>
          <t xml:space="preserve">A, B</t>
        </is>
      </c>
      <c r="F342" s="2" t="str">
        <f>HYPERLINK("https://yandex.ru/maps/?pt=73.442932,54.969189&amp;z=17","открыть")</f>
        <v>открыть</v>
      </c>
      <c r="G342" s="2" t="str">
        <f>HYPERLINK("https://mediafasadomsk.com/surfaces/bb-kosmicheskij-pr-7-a-900.jpg","смотреть")</f>
        <v>смотреть</v>
      </c>
      <c r="H342">
        <v>54.969189</v>
      </c>
      <c r="I342">
        <v>73.442932</v>
      </c>
    </row>
    <row r="343">
      <c r="A343">
        <v>342</v>
      </c>
      <c r="B343" t="inlineStr">
        <is>
          <t xml:space="preserve">Космический проспект, 10 (светофор)</t>
        </is>
      </c>
      <c r="C343" t="inlineStr">
        <is>
          <t xml:space="preserve">Билборд</t>
        </is>
      </c>
      <c r="D343" t="inlineStr">
        <is>
          <t xml:space="preserve">6×3</t>
        </is>
      </c>
      <c r="E343" t="inlineStr">
        <is>
          <t xml:space="preserve">A, B</t>
        </is>
      </c>
      <c r="F343" s="2" t="str">
        <f>HYPERLINK("https://yandex.ru/maps/?pt=73.44320000000003,54.9689&amp;z=17","открыть")</f>
        <v>открыть</v>
      </c>
      <c r="G343" s="2" t="str">
        <f>HYPERLINK("https://mediafasadomsk.com/surfaces/bb-kosmicheskij-prospekt-10-svetofor-a-900.jpg","смотреть")</f>
        <v>смотреть</v>
      </c>
      <c r="H343">
        <v>54.9689</v>
      </c>
      <c r="I343">
        <v>73.44320000000003</v>
      </c>
    </row>
    <row r="344">
      <c r="A344">
        <v>343</v>
      </c>
      <c r="B344" t="inlineStr">
        <is>
          <t xml:space="preserve">Космический проспект, 14, пересечение с улицей Индустриальная (светофор)</t>
        </is>
      </c>
      <c r="C344" t="inlineStr">
        <is>
          <t xml:space="preserve">Цифровой билборд</t>
        </is>
      </c>
      <c r="D344" t="inlineStr">
        <is>
          <t xml:space="preserve">6×3</t>
        </is>
      </c>
      <c r="E344" t="inlineStr">
        <is>
          <t xml:space="preserve">B1</t>
        </is>
      </c>
      <c r="F344" s="2" t="str">
        <f>HYPERLINK("https://yandex.ru/maps/?pt=73.4451243283313,54.969044933272336&amp;z=17","открыть")</f>
        <v>открыть</v>
      </c>
      <c r="G344" s="2" t="str">
        <f>HYPERLINK("https://mediafasadomsk.com/surfaces/bb-kosmicheskij-prospekt-14-h-s-ul-industrialnaya-svetofor-a-900.jpg","смотреть")</f>
        <v>смотреть</v>
      </c>
      <c r="H344">
        <v>54.969044933272336</v>
      </c>
      <c r="I344">
        <v>73.4451243283313</v>
      </c>
    </row>
    <row r="345">
      <c r="A345">
        <v>344</v>
      </c>
      <c r="B345" t="inlineStr">
        <is>
          <t xml:space="preserve">Космический проспект, 18к2 (светофор)</t>
        </is>
      </c>
      <c r="C345" t="inlineStr">
        <is>
          <t xml:space="preserve">Билборд</t>
        </is>
      </c>
      <c r="D345" t="inlineStr">
        <is>
          <t xml:space="preserve">6×3</t>
        </is>
      </c>
      <c r="E345" t="inlineStr">
        <is>
          <t xml:space="preserve">A, B</t>
        </is>
      </c>
      <c r="F345" s="2" t="str">
        <f>HYPERLINK("https://yandex.ru/maps/?pt=73.44778261105057,54.97034260059918&amp;z=17","открыть")</f>
        <v>открыть</v>
      </c>
      <c r="G345" s="2" t="str">
        <f>HYPERLINK("https://mediafasadomsk.com/surfaces/bb-kosmicheskij-prospekt-18k2-svetofor-a-900.jpg","смотреть")</f>
        <v>смотреть</v>
      </c>
      <c r="H345">
        <v>54.97034260059918</v>
      </c>
      <c r="I345">
        <v>73.44778261105057</v>
      </c>
    </row>
    <row r="346">
      <c r="A346">
        <v>345</v>
      </c>
      <c r="B346" t="inlineStr">
        <is>
          <t xml:space="preserve">Космический проспект, 24Б/1</t>
        </is>
      </c>
      <c r="C346" t="inlineStr">
        <is>
          <t xml:space="preserve">Билборд</t>
        </is>
      </c>
      <c r="D346" t="inlineStr">
        <is>
          <t xml:space="preserve">6×3</t>
        </is>
      </c>
      <c r="E346" t="inlineStr">
        <is>
          <t xml:space="preserve">A, B</t>
        </is>
      </c>
      <c r="F346" s="2" t="str">
        <f>HYPERLINK("https://yandex.ru/maps/?pt=73.45585708101999,54.97465531461982&amp;z=17","открыть")</f>
        <v>открыть</v>
      </c>
      <c r="G346" s="2" t="str">
        <f>HYPERLINK("https://mediafasadomsk.com/surfaces/bb-kosmicheskij-prospekt-24b-1-a-900.jpg","смотреть")</f>
        <v>смотреть</v>
      </c>
      <c r="H346">
        <v>54.97465531461982</v>
      </c>
      <c r="I346">
        <v>73.45585708101999</v>
      </c>
    </row>
    <row r="347">
      <c r="A347">
        <v>346</v>
      </c>
      <c r="B347" t="inlineStr">
        <is>
          <t xml:space="preserve">Космический проспект, 26, пересечение с улицей Петра Осьминина (светофор)</t>
        </is>
      </c>
      <c r="C347" t="inlineStr">
        <is>
          <t xml:space="preserve">Билборд</t>
        </is>
      </c>
      <c r="D347" t="inlineStr">
        <is>
          <t xml:space="preserve">6×3</t>
        </is>
      </c>
      <c r="E347" t="inlineStr">
        <is>
          <t xml:space="preserve">B</t>
        </is>
      </c>
      <c r="F347" s="2" t="str">
        <f>HYPERLINK("https://yandex.ru/maps/?pt=73.4605586013736,54.97715229330829&amp;z=17","открыть")</f>
        <v>открыть</v>
      </c>
      <c r="G347" s="2" t="str">
        <f>HYPERLINK("https://mediafasadomsk.com/surfaces/bb-kosmicheskij-prospekt-26-h-s-ul-petra-osminina-svetofor-a-900.jpg","смотреть")</f>
        <v>смотреть</v>
      </c>
      <c r="H347">
        <v>54.97715229330829</v>
      </c>
      <c r="I347">
        <v>73.4605586013736</v>
      </c>
    </row>
    <row r="348">
      <c r="A348">
        <v>347</v>
      </c>
      <c r="B348" t="inlineStr">
        <is>
          <t xml:space="preserve">Космический проспект, 26А (светофор)</t>
        </is>
      </c>
      <c r="C348" t="inlineStr">
        <is>
          <t xml:space="preserve">Билборд</t>
        </is>
      </c>
      <c r="D348" t="inlineStr">
        <is>
          <t xml:space="preserve">6×3</t>
        </is>
      </c>
      <c r="E348" t="inlineStr">
        <is>
          <t xml:space="preserve">A, B</t>
        </is>
      </c>
      <c r="F348" s="2" t="str">
        <f>HYPERLINK("https://yandex.ru/maps/?pt=73.4626767039057,54.97829094186915&amp;z=17","открыть")</f>
        <v>открыть</v>
      </c>
      <c r="G348" s="2" t="str">
        <f>HYPERLINK("https://mediafasadomsk.com/surfaces/bb-kosmicheskij-prospekt-26a-svetofor-a-900.jpg","смотреть")</f>
        <v>смотреть</v>
      </c>
      <c r="H348">
        <v>54.97829094186915</v>
      </c>
      <c r="I348">
        <v>73.4626767039057</v>
      </c>
    </row>
    <row r="349">
      <c r="A349">
        <v>348</v>
      </c>
      <c r="B349" t="inlineStr">
        <is>
          <t xml:space="preserve">Космический проспект, 97Вк1 (светофор)</t>
        </is>
      </c>
      <c r="C349" t="inlineStr">
        <is>
          <t xml:space="preserve">Билборд</t>
        </is>
      </c>
      <c r="D349" t="inlineStr">
        <is>
          <t xml:space="preserve">6×3</t>
        </is>
      </c>
      <c r="E349" t="inlineStr">
        <is>
          <t xml:space="preserve">A, B</t>
        </is>
      </c>
      <c r="F349" s="2" t="str">
        <f>HYPERLINK("https://yandex.ru/maps/?pt=73.4660718991276,54.98023047491905&amp;z=17","открыть")</f>
        <v>открыть</v>
      </c>
      <c r="G349" s="2" t="str">
        <f>HYPERLINK("https://mediafasadomsk.com/surfaces/bb-kosmicheskij-prospekt-97vk1-svetofor-a-900.jpg","смотреть")</f>
        <v>смотреть</v>
      </c>
      <c r="H349">
        <v>54.98023047491905</v>
      </c>
      <c r="I349">
        <v>73.4660718991276</v>
      </c>
    </row>
    <row r="350">
      <c r="A350">
        <v>349</v>
      </c>
      <c r="B350" t="inlineStr">
        <is>
          <t xml:space="preserve">Космический проспект, напротив дома 99/2, до пересечения с улицей Романенко (светофор)</t>
        </is>
      </c>
      <c r="C350" t="inlineStr">
        <is>
          <t xml:space="preserve">Билборд</t>
        </is>
      </c>
      <c r="D350" t="inlineStr">
        <is>
          <t xml:space="preserve">6×3</t>
        </is>
      </c>
      <c r="E350" t="inlineStr">
        <is>
          <t xml:space="preserve">A, B</t>
        </is>
      </c>
      <c r="F350" s="2" t="str">
        <f>HYPERLINK("https://yandex.ru/maps/?pt=73.46806624040562,54.981147557755634&amp;z=17","открыть")</f>
        <v>открыть</v>
      </c>
      <c r="G350" s="2" t="str">
        <f>HYPERLINK("https://mediafasadomsk.com/surfaces/bb-kosmicheskij-prospekt-99-2-naprotiv-do-h-s-ul-romanenko-svetofor-a-900.jpg","смотреть")</f>
        <v>смотреть</v>
      </c>
      <c r="H350">
        <v>54.981147557755634</v>
      </c>
      <c r="I350">
        <v>73.46806624040562</v>
      </c>
    </row>
    <row r="351">
      <c r="A351">
        <v>350</v>
      </c>
      <c r="B351" t="inlineStr">
        <is>
          <t xml:space="preserve">Красноярский тракт, 10 (у пересечения с улицей 25-я Северная)</t>
        </is>
      </c>
      <c r="C351" t="inlineStr">
        <is>
          <t xml:space="preserve">Билборд</t>
        </is>
      </c>
      <c r="D351" t="inlineStr">
        <is>
          <t xml:space="preserve">6×3</t>
        </is>
      </c>
      <c r="E351" t="inlineStr">
        <is>
          <t xml:space="preserve">A</t>
        </is>
      </c>
      <c r="F351" s="2" t="str">
        <f>HYPERLINK("https://yandex.ru/maps/?pt=73.35376428999996,55.02410403000002&amp;z=17","открыть")</f>
        <v>открыть</v>
      </c>
      <c r="G351" s="2" t="str">
        <f>HYPERLINK("https://mediafasadomsk.com/surfaces/bb-krasnoyarskij-trakt-10-h-s-ul-severnaya-25-ya-a-900.jpg","смотреть")</f>
        <v>смотреть</v>
      </c>
      <c r="H351">
        <v>55.02410403000002</v>
      </c>
      <c r="I351">
        <v>73.35376428999996</v>
      </c>
    </row>
    <row r="352">
      <c r="A352">
        <v>351</v>
      </c>
      <c r="B352" t="inlineStr">
        <is>
          <t xml:space="preserve">Красноярский тракт, чётная сторона, пересечение с улицей Северная 24-я (светофор)</t>
        </is>
      </c>
      <c r="C352" t="inlineStr">
        <is>
          <t xml:space="preserve">Билборд</t>
        </is>
      </c>
      <c r="D352" t="inlineStr">
        <is>
          <t xml:space="preserve">6×3</t>
        </is>
      </c>
      <c r="E352" t="inlineStr">
        <is>
          <t xml:space="preserve">A, B</t>
        </is>
      </c>
      <c r="F352" s="2" t="str">
        <f>HYPERLINK("https://yandex.ru/maps/?pt=73.35500612268486,55.02338153400154&amp;z=17","открыть")</f>
        <v>открыть</v>
      </c>
      <c r="G352" s="2" t="str">
        <f>HYPERLINK("https://mediafasadomsk.com/surfaces/bb-krasnoyarskij-trakt-chetnaya-storona-h-s-ul-severnaya-24-ya-svetofor-a-900.jpg","смотреть")</f>
        <v>смотреть</v>
      </c>
      <c r="H352">
        <v>55.02338153400154</v>
      </c>
      <c r="I352">
        <v>73.35500612268486</v>
      </c>
    </row>
    <row r="353">
      <c r="A353">
        <v>352</v>
      </c>
      <c r="B353" t="inlineStr">
        <is>
          <t xml:space="preserve">Красноярский тракт (между улицей Губкина и остановкой «Колония») № 4</t>
        </is>
      </c>
      <c r="C353" t="inlineStr">
        <is>
          <t xml:space="preserve">Билборд</t>
        </is>
      </c>
      <c r="D353" t="inlineStr">
        <is>
          <t xml:space="preserve">6×3</t>
        </is>
      </c>
      <c r="E353" t="inlineStr">
        <is>
          <t xml:space="preserve">A, B</t>
        </is>
      </c>
      <c r="F353" s="2" t="str">
        <f>HYPERLINK("https://yandex.ru/maps/?pt=73.3033,55.077039&amp;z=17","открыть")</f>
        <v>открыть</v>
      </c>
      <c r="G353" s="2" t="str">
        <f>HYPERLINK("https://mediafasadomsk.com/surfaces/bb-krasnoyarskij-trakt-mezhdu-ul-gubkina-i-oot-koloniya-4-a-900.jpg","смотреть")</f>
        <v>смотреть</v>
      </c>
      <c r="H353">
        <v>55.077039</v>
      </c>
      <c r="I353">
        <v>73.3033</v>
      </c>
    </row>
    <row r="354">
      <c r="A354">
        <v>353</v>
      </c>
      <c r="B354" t="inlineStr">
        <is>
          <t xml:space="preserve">Красноярский тракт (после остановки «Колония») № 2</t>
        </is>
      </c>
      <c r="C354" t="inlineStr">
        <is>
          <t xml:space="preserve">Билборд</t>
        </is>
      </c>
      <c r="D354" t="inlineStr">
        <is>
          <t xml:space="preserve">6×3</t>
        </is>
      </c>
      <c r="E354" t="inlineStr">
        <is>
          <t xml:space="preserve">A, B</t>
        </is>
      </c>
      <c r="F354" s="2" t="str">
        <f>HYPERLINK("https://yandex.ru/maps/?pt=73.2912,55.087779&amp;z=17","открыть")</f>
        <v>открыть</v>
      </c>
      <c r="G354" s="2" t="str">
        <f>HYPERLINK("https://mediafasadomsk.com/surfaces/bb-krasnoyarskij-trakt-posle-oot-koloniya-2-a-900.jpg","смотреть")</f>
        <v>смотреть</v>
      </c>
      <c r="H354">
        <v>55.087779</v>
      </c>
      <c r="I354">
        <v>73.2912</v>
      </c>
    </row>
    <row r="355">
      <c r="A355">
        <v>354</v>
      </c>
      <c r="B355" t="inlineStr">
        <is>
          <t xml:space="preserve">Улица Красных Зорь, 19</t>
        </is>
      </c>
      <c r="C355" t="inlineStr">
        <is>
          <t xml:space="preserve">Билборд</t>
        </is>
      </c>
      <c r="D355" t="inlineStr">
        <is>
          <t xml:space="preserve">6×3</t>
        </is>
      </c>
      <c r="E355" t="inlineStr">
        <is>
          <t xml:space="preserve">A, B</t>
        </is>
      </c>
      <c r="F355" s="2" t="str">
        <f>HYPERLINK("https://yandex.ru/maps/?pt=73.383596,54.977997&amp;z=17","открыть")</f>
        <v>открыть</v>
      </c>
      <c r="G355" s="2" t="str">
        <f>HYPERLINK("https://mediafasadomsk.com/surfaces/bb-krasnyh-zor-ul-19-a-900.jpg","смотреть")</f>
        <v>смотреть</v>
      </c>
      <c r="H355">
        <v>54.977997</v>
      </c>
      <c r="I355">
        <v>73.383596</v>
      </c>
    </row>
    <row r="356">
      <c r="A356">
        <v>355</v>
      </c>
      <c r="B356" t="inlineStr">
        <is>
          <t xml:space="preserve">Улица Красных Зорь, 4А</t>
        </is>
      </c>
      <c r="C356" t="inlineStr">
        <is>
          <t xml:space="preserve">Билборд</t>
        </is>
      </c>
      <c r="D356" t="inlineStr">
        <is>
          <t xml:space="preserve">6×3</t>
        </is>
      </c>
      <c r="E356" t="inlineStr">
        <is>
          <t xml:space="preserve">A, B</t>
        </is>
      </c>
      <c r="F356" s="2" t="str">
        <f>HYPERLINK("https://yandex.ru/maps/?pt=73.38413411045042,54.97796000966519&amp;z=17","открыть")</f>
        <v>открыть</v>
      </c>
      <c r="G356" s="2" t="str">
        <f>HYPERLINK("https://mediafasadomsk.com/surfaces/bb-krasnyh-zor-ul-4a-a-900.jpg","смотреть")</f>
        <v>смотреть</v>
      </c>
      <c r="H356">
        <v>54.97796000966519</v>
      </c>
      <c r="I356">
        <v>73.38413411045042</v>
      </c>
    </row>
    <row r="357">
      <c r="A357">
        <v>356</v>
      </c>
      <c r="B357" t="inlineStr">
        <is>
          <t xml:space="preserve">Красный Путь, напротив дома 101</t>
        </is>
      </c>
      <c r="C357" t="inlineStr">
        <is>
          <t xml:space="preserve">Билборд</t>
        </is>
      </c>
      <c r="D357" t="inlineStr">
        <is>
          <t xml:space="preserve">6×3</t>
        </is>
      </c>
      <c r="E357" t="inlineStr">
        <is>
          <t xml:space="preserve">A, B</t>
        </is>
      </c>
      <c r="F357" s="2" t="str">
        <f>HYPERLINK("https://yandex.ru/maps/?pt=73.34930975302872,55.003364490551206&amp;z=17","открыть")</f>
        <v>открыть</v>
      </c>
      <c r="G357" s="2" t="str">
        <f>HYPERLINK("https://mediafasadomsk.com/surfaces/bb-krasnyj-put-ul-101-naprotiv-a-900.jpg","смотреть")</f>
        <v>смотреть</v>
      </c>
      <c r="H357">
        <v>55.003364490551206</v>
      </c>
      <c r="I357">
        <v>73.34930975302872</v>
      </c>
    </row>
    <row r="358">
      <c r="A358">
        <v>357</v>
      </c>
      <c r="B358" t="inlineStr">
        <is>
          <t xml:space="preserve">Красный Путь, напротив дома 129 (светофор)</t>
        </is>
      </c>
      <c r="C358" t="inlineStr">
        <is>
          <t xml:space="preserve">Призматрон</t>
        </is>
      </c>
      <c r="D358" t="inlineStr">
        <is>
          <t xml:space="preserve">6×3</t>
        </is>
      </c>
      <c r="E358" t="inlineStr">
        <is>
          <t xml:space="preserve">A1</t>
        </is>
      </c>
      <c r="F358" s="2" t="str">
        <f>HYPERLINK("https://yandex.ru/maps/?pt=73.34141332987633,55.00965730005815&amp;z=17","открыть")</f>
        <v>открыть</v>
      </c>
      <c r="G358" s="2" t="str">
        <f>HYPERLINK("https://mediafasadomsk.com/surfaces/bb-krasnyj-put-ul-129-naprotiv-svetofor-a-900.jpg","смотреть")</f>
        <v>смотреть</v>
      </c>
      <c r="H358">
        <v>55.00965730005815</v>
      </c>
      <c r="I358">
        <v>73.34141332987633</v>
      </c>
    </row>
    <row r="359">
      <c r="A359">
        <v>358</v>
      </c>
      <c r="B359" t="inlineStr">
        <is>
          <t xml:space="preserve">Красный Путь, напротив дома 129 (светофор)</t>
        </is>
      </c>
      <c r="C359" t="inlineStr">
        <is>
          <t xml:space="preserve">Билборд</t>
        </is>
      </c>
      <c r="D359" t="inlineStr">
        <is>
          <t xml:space="preserve">6×3</t>
        </is>
      </c>
      <c r="E359" t="inlineStr">
        <is>
          <t xml:space="preserve">B</t>
        </is>
      </c>
      <c r="F359" s="2" t="str">
        <f>HYPERLINK("https://yandex.ru/maps/?pt=73.34141332987633,55.00965730005815&amp;z=17","открыть")</f>
        <v>открыть</v>
      </c>
      <c r="G359" s="2" t="str">
        <f>HYPERLINK("https://mediafasadomsk.com/surfaces/bb-krasnyj-put-ul-129-naprotiv-svetofor-b-a-900.jpg","смотреть")</f>
        <v>смотреть</v>
      </c>
      <c r="H359">
        <v>55.00965730005815</v>
      </c>
      <c r="I359">
        <v>73.34141332987633</v>
      </c>
    </row>
    <row r="360">
      <c r="A360">
        <v>359</v>
      </c>
      <c r="B360" t="inlineStr">
        <is>
          <t xml:space="preserve">Красный Путь, 135, до пересечения с улицей Затонская 1-я (светофор)</t>
        </is>
      </c>
      <c r="C360" t="inlineStr">
        <is>
          <t xml:space="preserve">Билборд</t>
        </is>
      </c>
      <c r="D360" t="inlineStr">
        <is>
          <t xml:space="preserve">6×3</t>
        </is>
      </c>
      <c r="E360" t="inlineStr">
        <is>
          <t xml:space="preserve">A, B</t>
        </is>
      </c>
      <c r="F360" s="2" t="str">
        <f>HYPERLINK("https://yandex.ru/maps/?pt=73.3384789932134,55.01052168626876&amp;z=17","открыть")</f>
        <v>открыть</v>
      </c>
      <c r="G360" s="2" t="str">
        <f>HYPERLINK("https://mediafasadomsk.com/surfaces/bb-krasnyj-put-ul-135-do-h-s-ul-zatonskaya-1-ya-svetofor-a-900.jpg","смотреть")</f>
        <v>смотреть</v>
      </c>
      <c r="H360">
        <v>55.01052168626876</v>
      </c>
      <c r="I360">
        <v>73.3384789932134</v>
      </c>
    </row>
    <row r="361">
      <c r="A361">
        <v>360</v>
      </c>
      <c r="B361" t="inlineStr">
        <is>
          <t xml:space="preserve">Красный Путь, напротив дома 145А (светофор)</t>
        </is>
      </c>
      <c r="C361" t="inlineStr">
        <is>
          <t xml:space="preserve">Цифровой билборд</t>
        </is>
      </c>
      <c r="D361" t="inlineStr">
        <is>
          <t xml:space="preserve">6×3</t>
        </is>
      </c>
      <c r="E361" t="inlineStr">
        <is>
          <t xml:space="preserve">A1, B1</t>
        </is>
      </c>
      <c r="F361" s="2" t="str">
        <f>HYPERLINK("https://yandex.ru/maps/?pt=73.33548564795318,55.01174288432676&amp;z=17","открыть")</f>
        <v>открыть</v>
      </c>
      <c r="G361" s="2" t="str">
        <f>HYPERLINK("https://mediafasadomsk.com/surfaces/bb-krasnyj-put-ul-145a-naprotiv-svetofor-a-900.jpg","смотреть")</f>
        <v>смотреть</v>
      </c>
      <c r="H361">
        <v>55.01174288432676</v>
      </c>
      <c r="I361">
        <v>73.33548564795318</v>
      </c>
    </row>
    <row r="362">
      <c r="A362">
        <v>361</v>
      </c>
      <c r="B362" t="inlineStr">
        <is>
          <t xml:space="preserve">Красный Путь, 145А (светофор)</t>
        </is>
      </c>
      <c r="C362" t="inlineStr">
        <is>
          <t xml:space="preserve">Цифровой билборд</t>
        </is>
      </c>
      <c r="D362" t="inlineStr">
        <is>
          <t xml:space="preserve">6×3</t>
        </is>
      </c>
      <c r="E362" t="inlineStr">
        <is>
          <t xml:space="preserve">B1</t>
        </is>
      </c>
      <c r="F362" s="2" t="str">
        <f>HYPERLINK("https://yandex.ru/maps/?pt=73.335297893322,55.011521407678465&amp;z=17","открыть")</f>
        <v>открыть</v>
      </c>
      <c r="G362" s="2" t="str">
        <f>HYPERLINK("https://mediafasadomsk.com/surfaces/bb-krasnyj-put-ul-145a-svetofor-a-900.jpg","смотреть")</f>
        <v>смотреть</v>
      </c>
      <c r="H362">
        <v>55.011521407678465</v>
      </c>
      <c r="I362">
        <v>73.335297893322</v>
      </c>
    </row>
    <row r="363">
      <c r="A363">
        <v>362</v>
      </c>
      <c r="B363" t="inlineStr">
        <is>
          <t xml:space="preserve">Красный Путь, 145А (светофор)</t>
        </is>
      </c>
      <c r="C363" t="inlineStr">
        <is>
          <t xml:space="preserve">Билборд</t>
        </is>
      </c>
      <c r="D363" t="inlineStr">
        <is>
          <t xml:space="preserve">6×3</t>
        </is>
      </c>
      <c r="E363" t="inlineStr">
        <is>
          <t xml:space="preserve">A</t>
        </is>
      </c>
      <c r="F363" s="2" t="str">
        <f>HYPERLINK("https://yandex.ru/maps/?pt=73.335297893322,55.011521407678465&amp;z=17","открыть")</f>
        <v>открыть</v>
      </c>
      <c r="G363" s="2" t="str">
        <f>HYPERLINK("https://mediafasadomsk.com/surfaces/bb-krasnyj-put-ul-145a-svetofor-a-a-900.jpg","смотреть")</f>
        <v>смотреть</v>
      </c>
      <c r="H363">
        <v>55.011521407678465</v>
      </c>
      <c r="I363">
        <v>73.335297893322</v>
      </c>
    </row>
    <row r="364">
      <c r="A364">
        <v>363</v>
      </c>
      <c r="B364" t="inlineStr">
        <is>
          <t xml:space="preserve">Красный Путь, 147 (у пересечения с улицей Берёзовая, светофор)</t>
        </is>
      </c>
      <c r="C364" t="inlineStr">
        <is>
          <t xml:space="preserve">Цифровой билборд</t>
        </is>
      </c>
      <c r="D364" t="inlineStr">
        <is>
          <t xml:space="preserve">6×3</t>
        </is>
      </c>
      <c r="E364" t="inlineStr">
        <is>
          <t xml:space="preserve">A1, B1</t>
        </is>
      </c>
      <c r="F364" s="2" t="str">
        <f>HYPERLINK("https://yandex.ru/maps/?pt=73.33236355665963,55.01234878145493&amp;z=17","открыть")</f>
        <v>открыть</v>
      </c>
      <c r="G364" s="2" t="str">
        <f>HYPERLINK("https://mediafasadomsk.com/surfaces/bb-krasnyj-put-ul-147-h-s-ul-berezovaya-svetofor-a-900.jpg","смотреть")</f>
        <v>смотреть</v>
      </c>
      <c r="H364">
        <v>55.01234878145493</v>
      </c>
      <c r="I364">
        <v>73.33236355665963</v>
      </c>
    </row>
    <row r="365">
      <c r="A365">
        <v>364</v>
      </c>
      <c r="B365" t="inlineStr">
        <is>
          <t xml:space="preserve">Красный Путь, 153, до пересечения с улицей Берёзовая (светофор)</t>
        </is>
      </c>
      <c r="C365" t="inlineStr">
        <is>
          <t xml:space="preserve">Билборд</t>
        </is>
      </c>
      <c r="D365" t="inlineStr">
        <is>
          <t xml:space="preserve">6×3</t>
        </is>
      </c>
      <c r="E365" t="inlineStr">
        <is>
          <t xml:space="preserve">A, B</t>
        </is>
      </c>
      <c r="F365" s="2" t="str">
        <f>HYPERLINK("https://yandex.ru/maps/?pt=73.33023924711932,55.012939363257146&amp;z=17","открыть")</f>
        <v>открыть</v>
      </c>
      <c r="G365" s="2" t="str">
        <f>HYPERLINK("https://mediafasadomsk.com/surfaces/bb-krasnyj-put-ul-153-do-h-s-ul-berezovaya-svetofor-a-900.jpg","смотреть")</f>
        <v>смотреть</v>
      </c>
      <c r="H365">
        <v>55.012939363257146</v>
      </c>
      <c r="I365">
        <v>73.33023924711932</v>
      </c>
    </row>
    <row r="366">
      <c r="A366">
        <v>365</v>
      </c>
      <c r="B366" t="inlineStr">
        <is>
          <t xml:space="preserve">Красный Путь, 155</t>
        </is>
      </c>
      <c r="C366" t="inlineStr">
        <is>
          <t xml:space="preserve">Билборд</t>
        </is>
      </c>
      <c r="D366" t="inlineStr">
        <is>
          <t xml:space="preserve">6×3</t>
        </is>
      </c>
      <c r="E366" t="inlineStr">
        <is>
          <t xml:space="preserve">A, B</t>
        </is>
      </c>
      <c r="F366" s="2" t="str">
        <f>HYPERLINK("https://yandex.ru/maps/?pt=73.32655389193168,55.01415131577337&amp;z=17","открыть")</f>
        <v>открыть</v>
      </c>
      <c r="G366" s="2" t="str">
        <f>HYPERLINK("https://mediafasadomsk.com/surfaces/bb-krasnyj-put-ul-155-a-900.jpg","смотреть")</f>
        <v>смотреть</v>
      </c>
      <c r="H366">
        <v>55.01415131577337</v>
      </c>
      <c r="I366">
        <v>73.32655389193168</v>
      </c>
    </row>
    <row r="367">
      <c r="A367">
        <v>366</v>
      </c>
      <c r="B367" t="inlineStr">
        <is>
          <t xml:space="preserve">Красный Путь, 155-163 напротив</t>
        </is>
      </c>
      <c r="C367" t="inlineStr">
        <is>
          <t xml:space="preserve">Билборд</t>
        </is>
      </c>
      <c r="D367" t="inlineStr">
        <is>
          <t xml:space="preserve">6×3</t>
        </is>
      </c>
      <c r="E367" t="inlineStr">
        <is>
          <t xml:space="preserve">A, B</t>
        </is>
      </c>
      <c r="F367" s="2" t="str">
        <f>HYPERLINK("https://yandex.ru/maps/?pt=73.32207460287944,55.015855108914295&amp;z=17","открыть")</f>
        <v>открыть</v>
      </c>
      <c r="G367" s="2" t="str">
        <f>HYPERLINK("https://mediafasadomsk.com/surfaces/bb-krasnyj-put-ul-155-163-naprotiv-a-900.jpg","смотреть")</f>
        <v>смотреть</v>
      </c>
      <c r="H367">
        <v>55.015855108914295</v>
      </c>
      <c r="I367">
        <v>73.32207460287944</v>
      </c>
    </row>
    <row r="368">
      <c r="A368">
        <v>367</v>
      </c>
      <c r="B368" t="inlineStr">
        <is>
          <t xml:space="preserve">Красный Путь, напротив дома 155</t>
        </is>
      </c>
      <c r="C368" t="inlineStr">
        <is>
          <t xml:space="preserve">Билборд</t>
        </is>
      </c>
      <c r="D368" t="inlineStr">
        <is>
          <t xml:space="preserve">6×3</t>
        </is>
      </c>
      <c r="E368" t="inlineStr">
        <is>
          <t xml:space="preserve">A, B</t>
        </is>
      </c>
      <c r="F368" s="2" t="str">
        <f>HYPERLINK("https://yandex.ru/maps/?pt=73.32664508703816,55.01432971447628&amp;z=17","открыть")</f>
        <v>открыть</v>
      </c>
      <c r="G368" s="2" t="str">
        <f>HYPERLINK("https://mediafasadomsk.com/surfaces/bb-krasnyj-put-ul-155-naprotiv-a-900.jpg","смотреть")</f>
        <v>смотреть</v>
      </c>
      <c r="H368">
        <v>55.01432971447628</v>
      </c>
      <c r="I368">
        <v>73.32664508703816</v>
      </c>
    </row>
    <row r="369">
      <c r="A369">
        <v>368</v>
      </c>
      <c r="B369" t="inlineStr">
        <is>
          <t xml:space="preserve">Красный Путь, 163</t>
        </is>
      </c>
      <c r="C369" t="inlineStr">
        <is>
          <t xml:space="preserve">Билборд</t>
        </is>
      </c>
      <c r="D369" t="inlineStr">
        <is>
          <t xml:space="preserve">6×3</t>
        </is>
      </c>
      <c r="E369" t="inlineStr">
        <is>
          <t xml:space="preserve">A, B</t>
        </is>
      </c>
      <c r="F369" s="2" t="str">
        <f>HYPERLINK("https://yandex.ru/maps/?pt=73.31911344412725,55.01642718309317&amp;z=17","открыть")</f>
        <v>открыть</v>
      </c>
      <c r="G369" s="2" t="str">
        <f>HYPERLINK("https://mediafasadomsk.com/surfaces/bb-krasnyj-put-ul-163-a-900.jpg","смотреть")</f>
        <v>смотреть</v>
      </c>
      <c r="H369">
        <v>55.01642718309317</v>
      </c>
      <c r="I369">
        <v>73.31911344412725</v>
      </c>
    </row>
    <row r="370">
      <c r="A370">
        <v>369</v>
      </c>
      <c r="B370" t="inlineStr">
        <is>
          <t xml:space="preserve">Красный Путь, между домами 163/1 и 155</t>
        </is>
      </c>
      <c r="C370" t="inlineStr">
        <is>
          <t xml:space="preserve">Билборд</t>
        </is>
      </c>
      <c r="D370" t="inlineStr">
        <is>
          <t xml:space="preserve">6×3</t>
        </is>
      </c>
      <c r="E370" t="inlineStr">
        <is>
          <t xml:space="preserve">A, B</t>
        </is>
      </c>
      <c r="F370" s="2" t="str">
        <f>HYPERLINK("https://yandex.ru/maps/?pt=73.321782,55.015617&amp;z=17","открыть")</f>
        <v>открыть</v>
      </c>
      <c r="G370" s="2" t="str">
        <f>HYPERLINK("https://mediafasadomsk.com/surfaces/bb-krasnyj-put-ul-163-1-mezhdu-krasnyj-put-ul-155-a-900.jpg","смотреть")</f>
        <v>смотреть</v>
      </c>
      <c r="H370">
        <v>55.015617</v>
      </c>
      <c r="I370">
        <v>73.321782</v>
      </c>
    </row>
    <row r="371">
      <c r="A371">
        <v>370</v>
      </c>
      <c r="B371" t="inlineStr">
        <is>
          <t xml:space="preserve">Красный Путь, 165/1</t>
        </is>
      </c>
      <c r="C371" t="inlineStr">
        <is>
          <t xml:space="preserve">Цифровой билборд</t>
        </is>
      </c>
      <c r="D371" t="inlineStr">
        <is>
          <t xml:space="preserve">6×3</t>
        </is>
      </c>
      <c r="E371" t="inlineStr">
        <is>
          <t xml:space="preserve">A1, B1</t>
        </is>
      </c>
      <c r="F371" s="2" t="str">
        <f>HYPERLINK("https://yandex.ru/maps/?pt=73.30951330947767,55.01996497782379&amp;z=17","открыть")</f>
        <v>открыть</v>
      </c>
      <c r="G371" s="2" t="str">
        <f>HYPERLINK("https://mediafasadomsk.com/surfaces/bb-krasnyj-put-ul-165-1-a-900.jpg","смотреть")</f>
        <v>смотреть</v>
      </c>
      <c r="H371">
        <v>55.01996497782379</v>
      </c>
      <c r="I371">
        <v>73.30951330947767</v>
      </c>
    </row>
    <row r="372">
      <c r="A372">
        <v>371</v>
      </c>
      <c r="B372" t="inlineStr">
        <is>
          <t xml:space="preserve">Красный Путь, напротив дома 165/1</t>
        </is>
      </c>
      <c r="C372" t="inlineStr">
        <is>
          <t xml:space="preserve">Билборд</t>
        </is>
      </c>
      <c r="D372" t="inlineStr">
        <is>
          <t xml:space="preserve">6×3</t>
        </is>
      </c>
      <c r="E372" t="inlineStr">
        <is>
          <t xml:space="preserve">A, B</t>
        </is>
      </c>
      <c r="F372" s="2" t="str">
        <f>HYPERLINK("https://yandex.ru/maps/?pt=73.31023533228829,55.019969995069786&amp;z=17","открыть")</f>
        <v>открыть</v>
      </c>
      <c r="G372" s="2" t="str">
        <f>HYPERLINK("https://mediafasadomsk.com/surfaces/bb-krasnyj-put-ul-165-1-naprotiv-a-900.jpg","смотреть")</f>
        <v>смотреть</v>
      </c>
      <c r="H372">
        <v>55.019969995069786</v>
      </c>
      <c r="I372">
        <v>73.31023533228829</v>
      </c>
    </row>
    <row r="373">
      <c r="A373">
        <v>372</v>
      </c>
      <c r="B373" t="inlineStr">
        <is>
          <t xml:space="preserve">Красный Путь, 165/2</t>
        </is>
      </c>
      <c r="C373" t="inlineStr">
        <is>
          <t xml:space="preserve">Призматрон</t>
        </is>
      </c>
      <c r="D373" t="inlineStr">
        <is>
          <t xml:space="preserve">6×3</t>
        </is>
      </c>
      <c r="E373" t="inlineStr">
        <is>
          <t xml:space="preserve">A1, B1</t>
        </is>
      </c>
      <c r="F373" s="2" t="str">
        <f>HYPERLINK("https://yandex.ru/maps/?pt=73.31270832926182,55.01866145347897&amp;z=17","открыть")</f>
        <v>открыть</v>
      </c>
      <c r="G373" s="2" t="str">
        <f>HYPERLINK("https://mediafasadomsk.com/surfaces/bb-krasnyj-put-ul-165-2-a-900.jpg","смотреть")</f>
        <v>смотреть</v>
      </c>
      <c r="H373">
        <v>55.01866145347897</v>
      </c>
      <c r="I373">
        <v>73.31270832926182</v>
      </c>
    </row>
    <row r="374">
      <c r="A374">
        <v>373</v>
      </c>
      <c r="B374" t="inlineStr">
        <is>
          <t xml:space="preserve">Красный Путь, 22 (светофор)</t>
        </is>
      </c>
      <c r="C374" t="inlineStr">
        <is>
          <t xml:space="preserve">Цифровой билборд</t>
        </is>
      </c>
      <c r="D374" t="inlineStr">
        <is>
          <t xml:space="preserve">6×3</t>
        </is>
      </c>
      <c r="E374" t="inlineStr">
        <is>
          <t xml:space="preserve">A1, B1</t>
        </is>
      </c>
      <c r="F374" s="2" t="str">
        <f>HYPERLINK("https://yandex.ru/maps/?pt=73.35638425727021,54.99743993951157&amp;z=17","открыть")</f>
        <v>открыть</v>
      </c>
      <c r="G374" s="2" t="str">
        <f>HYPERLINK("https://mediafasadomsk.com/surfaces/bb-krasnyj-put-ul-22-svetofor-a-900.jpg","смотреть")</f>
        <v>смотреть</v>
      </c>
      <c r="H374">
        <v>54.99743993951157</v>
      </c>
      <c r="I374">
        <v>73.35638425727021</v>
      </c>
    </row>
    <row r="375">
      <c r="A375">
        <v>374</v>
      </c>
      <c r="B375" t="inlineStr">
        <is>
          <t xml:space="preserve">Красный Путь, 24/1</t>
        </is>
      </c>
      <c r="C375" t="inlineStr">
        <is>
          <t xml:space="preserve">Цифровой билборд</t>
        </is>
      </c>
      <c r="D375" t="inlineStr">
        <is>
          <t xml:space="preserve">6×3</t>
        </is>
      </c>
      <c r="E375" t="inlineStr">
        <is>
          <t xml:space="preserve">A1, B1</t>
        </is>
      </c>
      <c r="F375" s="2" t="str">
        <f>HYPERLINK("https://yandex.ru/maps/?pt=73.35563860277806,54.99812296332931&amp;z=17","открыть")</f>
        <v>открыть</v>
      </c>
      <c r="G375" s="2" t="str">
        <f>HYPERLINK("https://mediafasadomsk.com/surfaces/bb-krasnyj-put-ul-24k1-a-900.jpg","смотреть")</f>
        <v>смотреть</v>
      </c>
      <c r="H375">
        <v>54.99812296332931</v>
      </c>
      <c r="I375">
        <v>73.35563860277806</v>
      </c>
    </row>
    <row r="376">
      <c r="A376">
        <v>375</v>
      </c>
      <c r="B376" t="inlineStr">
        <is>
          <t xml:space="preserve">Красный Путь, напротив дома 3, съезд на улицу Интернациональная</t>
        </is>
      </c>
      <c r="C376" t="inlineStr">
        <is>
          <t xml:space="preserve">Цифровой билборд</t>
        </is>
      </c>
      <c r="D376" t="inlineStr">
        <is>
          <t xml:space="preserve">6×3</t>
        </is>
      </c>
      <c r="E376" t="inlineStr">
        <is>
          <t xml:space="preserve">A1</t>
        </is>
      </c>
      <c r="F376" s="2" t="str">
        <f>HYPERLINK("https://yandex.ru/maps/?pt=73.36483321566998,54.9910452249709&amp;z=17","открыть")</f>
        <v>открыть</v>
      </c>
      <c r="G376" s="2" t="str">
        <f>HYPERLINK("https://mediafasadomsk.com/surfaces/bb-krasnyj-put-ul-3-naprotiv-sezd-na-ul-internacionalnaya-a-900.jpg","смотреть")</f>
        <v>смотреть</v>
      </c>
      <c r="H376">
        <v>54.9910452249709</v>
      </c>
      <c r="I376">
        <v>73.36483321566998</v>
      </c>
    </row>
    <row r="377">
      <c r="A377">
        <v>376</v>
      </c>
      <c r="B377" t="inlineStr">
        <is>
          <t xml:space="preserve">Красный Путь, 32</t>
        </is>
      </c>
      <c r="C377" t="inlineStr">
        <is>
          <t xml:space="preserve">Цифровой билборд</t>
        </is>
      </c>
      <c r="D377" t="inlineStr">
        <is>
          <t xml:space="preserve">6×3</t>
        </is>
      </c>
      <c r="E377" t="inlineStr">
        <is>
          <t xml:space="preserve">A1</t>
        </is>
      </c>
      <c r="F377" s="2" t="str">
        <f>HYPERLINK("https://yandex.ru/maps/?pt=73.35183102950248,55.00134000747585&amp;z=17","открыть")</f>
        <v>открыть</v>
      </c>
      <c r="G377" s="2" t="str">
        <f>HYPERLINK("https://mediafasadomsk.com/surfaces/bb-krasnyj-put-ul-32-a-900.jpg","смотреть")</f>
        <v>смотреть</v>
      </c>
      <c r="H377">
        <v>55.00134000747585</v>
      </c>
      <c r="I377">
        <v>73.35183102950248</v>
      </c>
    </row>
    <row r="378">
      <c r="A378">
        <v>377</v>
      </c>
      <c r="B378" t="inlineStr">
        <is>
          <t xml:space="preserve">Красный Путь, 32</t>
        </is>
      </c>
      <c r="C378" t="inlineStr">
        <is>
          <t xml:space="preserve">Билборд</t>
        </is>
      </c>
      <c r="D378" t="inlineStr">
        <is>
          <t xml:space="preserve">6×3</t>
        </is>
      </c>
      <c r="E378" t="inlineStr">
        <is>
          <t xml:space="preserve">B</t>
        </is>
      </c>
      <c r="F378" s="2" t="str">
        <f>HYPERLINK("https://yandex.ru/maps/?pt=73.35183102950248,55.00134000747585&amp;z=17","открыть")</f>
        <v>открыть</v>
      </c>
      <c r="G378" s="2" t="str">
        <f>HYPERLINK("https://mediafasadomsk.com/surfaces/bb-krasnyj-put-ul-32-b-a-900.jpg","смотреть")</f>
        <v>смотреть</v>
      </c>
      <c r="H378">
        <v>55.00134000747585</v>
      </c>
      <c r="I378">
        <v>73.35183102950248</v>
      </c>
    </row>
    <row r="379">
      <c r="A379">
        <v>378</v>
      </c>
      <c r="B379" t="inlineStr">
        <is>
          <t xml:space="preserve">Красный Путь, напротив дома 36/1</t>
        </is>
      </c>
      <c r="C379" t="inlineStr">
        <is>
          <t xml:space="preserve">Цифровой билборд</t>
        </is>
      </c>
      <c r="D379" t="inlineStr">
        <is>
          <t xml:space="preserve">6×3</t>
        </is>
      </c>
      <c r="E379" t="inlineStr">
        <is>
          <t xml:space="preserve">B</t>
        </is>
      </c>
      <c r="F379" s="2" t="str">
        <f>HYPERLINK("https://yandex.ru/maps/?pt=73.354616,54.998506&amp;z=17","открыть")</f>
        <v>открыть</v>
      </c>
      <c r="G379" s="2" t="str">
        <f>HYPERLINK("https://mediafasadomsk.com/surfaces/bb-krasnyj-put-ul-36-k1-naprotiv-a-900.jpg","смотреть")</f>
        <v>смотреть</v>
      </c>
      <c r="H379">
        <v>54.998506</v>
      </c>
      <c r="I379">
        <v>73.354616</v>
      </c>
    </row>
    <row r="380">
      <c r="A380">
        <v>379</v>
      </c>
      <c r="B380" t="inlineStr">
        <is>
          <t xml:space="preserve">Красный Путь, напротив дома 36/1</t>
        </is>
      </c>
      <c r="C380" t="inlineStr">
        <is>
          <t xml:space="preserve">Призматрон</t>
        </is>
      </c>
      <c r="D380" t="inlineStr">
        <is>
          <t xml:space="preserve">6×3</t>
        </is>
      </c>
      <c r="E380" t="inlineStr">
        <is>
          <t xml:space="preserve">A, B</t>
        </is>
      </c>
      <c r="F380" s="2" t="str">
        <f>HYPERLINK("https://yandex.ru/maps/?pt=73.354616,54.998506&amp;z=17","открыть")</f>
        <v>открыть</v>
      </c>
      <c r="G380" s="2" t="str">
        <f>HYPERLINK("https://mediafasadomsk.com/surfaces/bb-krasnyj-put-ul-36-k1-naprotiv-2-a-900.jpg","смотреть")</f>
        <v>смотреть</v>
      </c>
      <c r="H380">
        <v>54.998506</v>
      </c>
      <c r="I380">
        <v>73.354616</v>
      </c>
    </row>
    <row r="381">
      <c r="A381">
        <v>380</v>
      </c>
      <c r="B381" t="inlineStr">
        <is>
          <t xml:space="preserve">Красный Путь, 42</t>
        </is>
      </c>
      <c r="C381" t="inlineStr">
        <is>
          <t xml:space="preserve">Цифровой билборд</t>
        </is>
      </c>
      <c r="D381" t="inlineStr">
        <is>
          <t xml:space="preserve">6×3</t>
        </is>
      </c>
      <c r="E381" t="inlineStr">
        <is>
          <t xml:space="preserve">A1, B1</t>
        </is>
      </c>
      <c r="F381" s="2" t="str">
        <f>HYPERLINK("https://yandex.ru/maps/?pt=73.35469365164916,54.99892446834213&amp;z=17","открыть")</f>
        <v>открыть</v>
      </c>
      <c r="G381" s="2" t="str">
        <f>HYPERLINK("https://mediafasadomsk.com/surfaces/bb-krasnyj-put-ul-42-a-900.jpg","смотреть")</f>
        <v>смотреть</v>
      </c>
      <c r="H381">
        <v>54.99892446834213</v>
      </c>
      <c r="I381">
        <v>73.35469365164916</v>
      </c>
    </row>
    <row r="382">
      <c r="A382">
        <v>381</v>
      </c>
      <c r="B382" t="inlineStr">
        <is>
          <t xml:space="preserve">Красный Путь, 6</t>
        </is>
      </c>
      <c r="C382" t="inlineStr">
        <is>
          <t xml:space="preserve">Цифровой билборд</t>
        </is>
      </c>
      <c r="D382" t="inlineStr">
        <is>
          <t xml:space="preserve">6×3</t>
        </is>
      </c>
      <c r="E382" t="inlineStr">
        <is>
          <t xml:space="preserve">A</t>
        </is>
      </c>
      <c r="F382" s="2" t="str">
        <f>HYPERLINK("https://yandex.ru/maps/?pt=73.3625,54.992333&amp;z=17","открыть")</f>
        <v>открыть</v>
      </c>
      <c r="G382" s="2" t="str">
        <f>HYPERLINK("https://mediafasadomsk.com/surfaces/bb-krasnyj-put-ul-6-a-900.jpg","смотреть")</f>
        <v>смотреть</v>
      </c>
      <c r="H382">
        <v>54.992333</v>
      </c>
      <c r="I382">
        <v>73.3625</v>
      </c>
    </row>
    <row r="383">
      <c r="A383">
        <v>382</v>
      </c>
      <c r="B383" t="inlineStr">
        <is>
          <t xml:space="preserve">Красный Путь, 61</t>
        </is>
      </c>
      <c r="C383" t="inlineStr">
        <is>
          <t xml:space="preserve">Билборд</t>
        </is>
      </c>
      <c r="D383" t="inlineStr">
        <is>
          <t xml:space="preserve">6×3</t>
        </is>
      </c>
      <c r="E383" t="inlineStr">
        <is>
          <t xml:space="preserve">A, B</t>
        </is>
      </c>
      <c r="F383" s="2" t="str">
        <f>HYPERLINK("https://yandex.ru/maps/?pt=73.35734448809947,54.99617215791806&amp;z=17","открыть")</f>
        <v>открыть</v>
      </c>
      <c r="G383" s="2" t="str">
        <f>HYPERLINK("https://mediafasadomsk.com/surfaces/bb-krasnyj-put-ul-61-a-900.jpg","смотреть")</f>
        <v>смотреть</v>
      </c>
      <c r="H383">
        <v>54.99617215791806</v>
      </c>
      <c r="I383">
        <v>73.35734448809947</v>
      </c>
    </row>
    <row r="384">
      <c r="A384">
        <v>383</v>
      </c>
      <c r="B384" t="inlineStr">
        <is>
          <t xml:space="preserve">Красный Путь, 65 (светофор)</t>
        </is>
      </c>
      <c r="C384" t="inlineStr">
        <is>
          <t xml:space="preserve">Билборд</t>
        </is>
      </c>
      <c r="D384" t="inlineStr">
        <is>
          <t xml:space="preserve">6×3</t>
        </is>
      </c>
      <c r="E384" t="inlineStr">
        <is>
          <t xml:space="preserve">A, B</t>
        </is>
      </c>
      <c r="F384" s="2" t="str">
        <f>HYPERLINK("https://yandex.ru/maps/?pt=73.35611603636835,54.997366087848654&amp;z=17","открыть")</f>
        <v>открыть</v>
      </c>
      <c r="G384" s="2" t="str">
        <f>HYPERLINK("https://mediafasadomsk.com/surfaces/bb-krasnyj-put-ul-65-svetofor-a-900.jpg","смотреть")</f>
        <v>смотреть</v>
      </c>
      <c r="H384">
        <v>54.997366087848654</v>
      </c>
      <c r="I384">
        <v>73.35611603636835</v>
      </c>
    </row>
    <row r="385">
      <c r="A385">
        <v>384</v>
      </c>
      <c r="B385" t="inlineStr">
        <is>
          <t xml:space="preserve">Красный Путь, 72 (светофор)</t>
        </is>
      </c>
      <c r="C385" t="inlineStr">
        <is>
          <t xml:space="preserve">Билборд</t>
        </is>
      </c>
      <c r="D385" t="inlineStr">
        <is>
          <t xml:space="preserve">6×3</t>
        </is>
      </c>
      <c r="E385" t="inlineStr">
        <is>
          <t xml:space="preserve">A, B</t>
        </is>
      </c>
      <c r="F385" s="2" t="str">
        <f>HYPERLINK("https://yandex.ru/maps/?pt=73.3466650949393,55.00549347366992&amp;z=17","открыть")</f>
        <v>открыть</v>
      </c>
      <c r="G385" s="2" t="str">
        <f>HYPERLINK("https://mediafasadomsk.com/surfaces/bb-krasnyj-put-ul-72-svetofor-a-900.jpg","смотреть")</f>
        <v>смотреть</v>
      </c>
      <c r="H385">
        <v>55.00549347366992</v>
      </c>
      <c r="I385">
        <v>73.3466650949393</v>
      </c>
    </row>
    <row r="386">
      <c r="A386">
        <v>385</v>
      </c>
      <c r="B386" t="inlineStr">
        <is>
          <t xml:space="preserve">Красный Путь, 74 (у пересечения с улицей 7-я Северная, светофор)</t>
        </is>
      </c>
      <c r="C386" t="inlineStr">
        <is>
          <t xml:space="preserve">Билборд</t>
        </is>
      </c>
      <c r="D386" t="inlineStr">
        <is>
          <t xml:space="preserve">6×3</t>
        </is>
      </c>
      <c r="E386" t="inlineStr">
        <is>
          <t xml:space="preserve">A, B</t>
        </is>
      </c>
      <c r="F386" s="2" t="str">
        <f>HYPERLINK("https://yandex.ru/maps/?pt=73.34609918517994,55.00593700998137&amp;z=17","открыть")</f>
        <v>открыть</v>
      </c>
      <c r="G386" s="2" t="str">
        <f>HYPERLINK("https://mediafasadomsk.com/surfaces/bb-krasnyj-put-ul-74-h-s-ul-severnaya-7-ya-svetofor-a-900.jpg","смотреть")</f>
        <v>смотреть</v>
      </c>
      <c r="H386">
        <v>55.00593700998137</v>
      </c>
      <c r="I386">
        <v>73.34609918517994</v>
      </c>
    </row>
    <row r="387">
      <c r="A387">
        <v>386</v>
      </c>
      <c r="B387" t="inlineStr">
        <is>
          <t xml:space="preserve">Красный Путь, 76 (у пересечения с улицей 7-я Северная, светофор)</t>
        </is>
      </c>
      <c r="C387" t="inlineStr">
        <is>
          <t xml:space="preserve">Цифровой билборд</t>
        </is>
      </c>
      <c r="D387" t="inlineStr">
        <is>
          <t xml:space="preserve">6×3</t>
        </is>
      </c>
      <c r="E387" t="inlineStr">
        <is>
          <t xml:space="preserve">A1, B1</t>
        </is>
      </c>
      <c r="F387" s="2" t="str">
        <f>HYPERLINK("https://yandex.ru/maps/?pt=73.34576122684439,55.006207734649664&amp;z=17","открыть")</f>
        <v>открыть</v>
      </c>
      <c r="G387" s="2" t="str">
        <f>HYPERLINK("https://mediafasadomsk.com/surfaces/bb-krasnyj-put-ul-76-h-s-ul-severnaya-7-ya-svetofor-a-900.jpg","смотреть")</f>
        <v>смотреть</v>
      </c>
      <c r="H387">
        <v>55.006207734649664</v>
      </c>
      <c r="I387">
        <v>73.34576122684439</v>
      </c>
    </row>
    <row r="388">
      <c r="A388">
        <v>387</v>
      </c>
      <c r="B388" t="inlineStr">
        <is>
          <t xml:space="preserve">Красный Путь, 81 (у пересечения с улицей Кемеровская, светофор)</t>
        </is>
      </c>
      <c r="C388" t="inlineStr">
        <is>
          <t xml:space="preserve">Цифровой билборд</t>
        </is>
      </c>
      <c r="D388" t="inlineStr">
        <is>
          <t xml:space="preserve">6×3</t>
        </is>
      </c>
      <c r="E388" t="inlineStr">
        <is>
          <t xml:space="preserve">A1, B1</t>
        </is>
      </c>
      <c r="F388" s="2" t="str">
        <f>HYPERLINK("https://yandex.ru/maps/?pt=73.35344510999977,54.99964643&amp;z=17","открыть")</f>
        <v>открыть</v>
      </c>
      <c r="G388" s="2" t="str">
        <f>HYPERLINK("https://mediafasadomsk.com/surfaces/bb-krasnyj-put-ul-81-h-s-ul-kemerovskaya-svetofor-a-900.jpg","смотреть")</f>
        <v>смотреть</v>
      </c>
      <c r="H388">
        <v>54.99964643</v>
      </c>
      <c r="I388">
        <v>73.35344510999977</v>
      </c>
    </row>
    <row r="389">
      <c r="A389">
        <v>388</v>
      </c>
      <c r="B389" t="inlineStr">
        <is>
          <t xml:space="preserve">Красный Путь, 82А (светофор)</t>
        </is>
      </c>
      <c r="C389" t="inlineStr">
        <is>
          <t xml:space="preserve">Цифровой билборд</t>
        </is>
      </c>
      <c r="D389" t="inlineStr">
        <is>
          <t xml:space="preserve">6×3</t>
        </is>
      </c>
      <c r="E389" t="inlineStr">
        <is>
          <t xml:space="preserve">B1</t>
        </is>
      </c>
      <c r="F389" s="2" t="str">
        <f>HYPERLINK("https://yandex.ru/maps/?pt=73.34367174967907,55.00796996927708&amp;z=17","открыть")</f>
        <v>открыть</v>
      </c>
      <c r="G389" s="2" t="str">
        <f>HYPERLINK("https://mediafasadomsk.com/surfaces/bb-krasnyj-put-ul-82a-svetofor-a-900.jpg","смотреть")</f>
        <v>смотреть</v>
      </c>
      <c r="H389">
        <v>55.00796996927708</v>
      </c>
      <c r="I389">
        <v>73.34367174967907</v>
      </c>
    </row>
    <row r="390">
      <c r="A390">
        <v>389</v>
      </c>
      <c r="B390" t="inlineStr">
        <is>
          <t xml:space="preserve">Красный Путь, 83 (у пересечения с улицей Кемеровская, светофор)</t>
        </is>
      </c>
      <c r="C390" t="inlineStr">
        <is>
          <t xml:space="preserve">Цифровой билборд</t>
        </is>
      </c>
      <c r="D390" t="inlineStr">
        <is>
          <t xml:space="preserve">6×3</t>
        </is>
      </c>
      <c r="E390" t="inlineStr">
        <is>
          <t xml:space="preserve">B1</t>
        </is>
      </c>
      <c r="F390" s="2" t="str">
        <f>HYPERLINK("https://yandex.ru/maps/?pt=73.35290811438709,55.000052308060255&amp;z=17","открыть")</f>
        <v>открыть</v>
      </c>
      <c r="G390" s="2" t="str">
        <f>HYPERLINK("https://mediafasadomsk.com/surfaces/bb-krasnyj-put-ul-83-h-s-ul-kemerovskaya-svetofor-a-900.jpg","смотреть")</f>
        <v>смотреть</v>
      </c>
      <c r="H390">
        <v>55.000052308060255</v>
      </c>
      <c r="I390">
        <v>73.35290811438709</v>
      </c>
    </row>
    <row r="391">
      <c r="A391">
        <v>390</v>
      </c>
      <c r="B391" t="inlineStr">
        <is>
          <t xml:space="preserve">Красный Путь, 84 (светофор)</t>
        </is>
      </c>
      <c r="C391" t="inlineStr">
        <is>
          <t xml:space="preserve">Билборд</t>
        </is>
      </c>
      <c r="D391" t="inlineStr">
        <is>
          <t xml:space="preserve">6×3</t>
        </is>
      </c>
      <c r="E391" t="inlineStr">
        <is>
          <t xml:space="preserve">B</t>
        </is>
      </c>
      <c r="F391" s="2" t="str">
        <f>HYPERLINK("https://yandex.ru/maps/?pt=73.3426364171864,55.00882672279083&amp;z=17","открыть")</f>
        <v>открыть</v>
      </c>
      <c r="G391" s="2" t="str">
        <f>HYPERLINK("https://mediafasadomsk.com/surfaces/bb-krasnyj-put-ul-84-svetofor-a-900.jpg","смотреть")</f>
        <v>смотреть</v>
      </c>
      <c r="H391">
        <v>55.00882672279083</v>
      </c>
      <c r="I391">
        <v>73.3426364171864</v>
      </c>
    </row>
    <row r="392">
      <c r="A392">
        <v>391</v>
      </c>
      <c r="B392" t="inlineStr">
        <is>
          <t xml:space="preserve">Красный Путь, 86А</t>
        </is>
      </c>
      <c r="C392" t="inlineStr">
        <is>
          <t xml:space="preserve">Цифровой билборд</t>
        </is>
      </c>
      <c r="D392" t="inlineStr">
        <is>
          <t xml:space="preserve">6×3</t>
        </is>
      </c>
      <c r="E392" t="inlineStr">
        <is>
          <t xml:space="preserve">A</t>
        </is>
      </c>
      <c r="F392" s="2" t="str">
        <f>HYPERLINK("https://yandex.ru/maps/?pt=73.338913,55.010834&amp;z=17","открыть")</f>
        <v>открыть</v>
      </c>
      <c r="G392" s="2" t="str">
        <f>HYPERLINK("https://mediafasadomsk.com/surfaces/bb-krasnyj-put-ul-86a-a-900.jpg","смотреть")</f>
        <v>смотреть</v>
      </c>
      <c r="H392">
        <v>55.010834</v>
      </c>
      <c r="I392">
        <v>73.338913</v>
      </c>
    </row>
    <row r="393">
      <c r="A393">
        <v>392</v>
      </c>
      <c r="B393" t="inlineStr">
        <is>
          <t xml:space="preserve">Красный Путь, 89/2</t>
        </is>
      </c>
      <c r="C393" t="inlineStr">
        <is>
          <t xml:space="preserve">Цифровой билборд</t>
        </is>
      </c>
      <c r="D393" t="inlineStr">
        <is>
          <t xml:space="preserve">6×3</t>
        </is>
      </c>
      <c r="E393" t="inlineStr">
        <is>
          <t xml:space="preserve">A</t>
        </is>
      </c>
      <c r="F393" s="2" t="str">
        <f>HYPERLINK("https://yandex.ru/maps/?pt=73.350588,55.00181&amp;z=17","открыть")</f>
        <v>открыть</v>
      </c>
      <c r="G393" s="2" t="str">
        <f>HYPERLINK("https://mediafasadomsk.com/surfaces/bb-krasnyj-put-ul-89-k2-a-900.jpg","смотреть")</f>
        <v>смотреть</v>
      </c>
      <c r="H393">
        <v>55.00181</v>
      </c>
      <c r="I393">
        <v>73.350588</v>
      </c>
    </row>
    <row r="394">
      <c r="A394">
        <v>393</v>
      </c>
      <c r="B394" t="inlineStr">
        <is>
          <t xml:space="preserve">Красный Путь, чётная сторона, после пересечения с улицей Институтская (светофор)</t>
        </is>
      </c>
      <c r="C394" t="inlineStr">
        <is>
          <t xml:space="preserve">Билборд</t>
        </is>
      </c>
      <c r="D394" t="inlineStr">
        <is>
          <t xml:space="preserve">6×3</t>
        </is>
      </c>
      <c r="E394" t="inlineStr">
        <is>
          <t xml:space="preserve">A, B</t>
        </is>
      </c>
      <c r="F394" s="2" t="str">
        <f>HYPERLINK("https://yandex.ru/maps/?pt=73.31525642756415,55.01783272991329&amp;z=17","открыть")</f>
        <v>открыть</v>
      </c>
      <c r="G394" s="2" t="str">
        <f>HYPERLINK("https://mediafasadomsk.com/surfaces/bb-krasnyj-put-ul-chetnaya-storona-posle-h-s-ul-institutskaya-svetofor-a-900.jpg","смотреть")</f>
        <v>смотреть</v>
      </c>
      <c r="H394">
        <v>55.01783272991329</v>
      </c>
      <c r="I394">
        <v>73.31525642756415</v>
      </c>
    </row>
    <row r="395">
      <c r="A395">
        <v>394</v>
      </c>
      <c r="B395" t="inlineStr">
        <is>
          <t xml:space="preserve">Красный Путь, нечётная сторона, до пересечения с улицей Астрономическая (светофор)</t>
        </is>
      </c>
      <c r="C395" t="inlineStr">
        <is>
          <t xml:space="preserve">Билборд</t>
        </is>
      </c>
      <c r="D395" t="inlineStr">
        <is>
          <t xml:space="preserve">6×3</t>
        </is>
      </c>
      <c r="E395" t="inlineStr">
        <is>
          <t xml:space="preserve">A, B</t>
        </is>
      </c>
      <c r="F395" s="2" t="str">
        <f>HYPERLINK("https://yandex.ru/maps/?pt=73.31518886375471,55.017633763930334&amp;z=17","открыть")</f>
        <v>открыть</v>
      </c>
      <c r="G395" s="2" t="str">
        <f>HYPERLINK("https://mediafasadomsk.com/surfaces/bb-krasnyj-put-ul-nechetnaya-storona-do-h-s-ul-astronomicheskaya-svetofor-a-900.jpg","смотреть")</f>
        <v>смотреть</v>
      </c>
      <c r="H395">
        <v>55.017633763930334</v>
      </c>
      <c r="I395">
        <v>73.31518886375471</v>
      </c>
    </row>
    <row r="396">
      <c r="A396">
        <v>395</v>
      </c>
      <c r="B396" t="inlineStr">
        <is>
          <t xml:space="preserve">Крупской, напротив дома 14/3</t>
        </is>
      </c>
      <c r="C396" t="inlineStr">
        <is>
          <t xml:space="preserve">Билборд</t>
        </is>
      </c>
      <c r="D396" t="inlineStr">
        <is>
          <t xml:space="preserve">6×3</t>
        </is>
      </c>
      <c r="E396" t="inlineStr">
        <is>
          <t xml:space="preserve">A, B</t>
        </is>
      </c>
      <c r="F396" s="2" t="str">
        <f>HYPERLINK("https://yandex.ru/maps/?pt=73.311493,55.000494&amp;z=17","открыть")</f>
        <v>открыть</v>
      </c>
      <c r="G396" s="2" t="str">
        <f>HYPERLINK("https://mediafasadomsk.com/surfaces/bb-krupskoj-ul-14-korp-3-naprotiv-a-900.jpg","смотреть")</f>
        <v>смотреть</v>
      </c>
      <c r="H396">
        <v>55.000494</v>
      </c>
      <c r="I396">
        <v>73.311493</v>
      </c>
    </row>
    <row r="397">
      <c r="A397">
        <v>396</v>
      </c>
      <c r="B397" t="inlineStr">
        <is>
          <t xml:space="preserve">Куйбышева, 113 (улица Маяковского)</t>
        </is>
      </c>
      <c r="C397" t="inlineStr">
        <is>
          <t xml:space="preserve">Билборд</t>
        </is>
      </c>
      <c r="D397" t="inlineStr">
        <is>
          <t xml:space="preserve">6×3</t>
        </is>
      </c>
      <c r="E397" t="inlineStr">
        <is>
          <t xml:space="preserve">A</t>
        </is>
      </c>
      <c r="F397" s="2" t="str">
        <f>HYPERLINK("https://yandex.ru/maps/?pt=73.399411,54.972104&amp;z=17","открыть")</f>
        <v>открыть</v>
      </c>
      <c r="G397" s="2" t="str">
        <f>HYPERLINK("https://mediafasadomsk.com/surfaces/bb-kujbysheva-ul-113-mayakovskogo-ul-a-900.jpg","смотреть")</f>
        <v>смотреть</v>
      </c>
      <c r="H397">
        <v>54.972104</v>
      </c>
      <c r="I397">
        <v>73.399411</v>
      </c>
    </row>
    <row r="398">
      <c r="A398">
        <v>397</v>
      </c>
      <c r="B398" t="inlineStr">
        <is>
          <t xml:space="preserve">Куйбышева, 132/6</t>
        </is>
      </c>
      <c r="C398" t="inlineStr">
        <is>
          <t xml:space="preserve">Билборд</t>
        </is>
      </c>
      <c r="D398" t="inlineStr">
        <is>
          <t xml:space="preserve">6×3</t>
        </is>
      </c>
      <c r="E398" t="inlineStr">
        <is>
          <t xml:space="preserve">A, B</t>
        </is>
      </c>
      <c r="F398" s="2" t="str">
        <f>HYPERLINK("https://yandex.ru/maps/?pt=73.3979471140871,54.97826056934795&amp;z=17","открыть")</f>
        <v>открыть</v>
      </c>
      <c r="G398" s="2" t="str">
        <f>HYPERLINK("https://mediafasadomsk.com/surfaces/bb-kujbysheva-ul-132-6-a-900.jpg","смотреть")</f>
        <v>смотреть</v>
      </c>
      <c r="H398">
        <v>54.97826056934795</v>
      </c>
      <c r="I398">
        <v>73.3979471140871</v>
      </c>
    </row>
    <row r="399">
      <c r="A399">
        <v>398</v>
      </c>
      <c r="B399" t="inlineStr">
        <is>
          <t xml:space="preserve">Куйбышева, 134/1</t>
        </is>
      </c>
      <c r="C399" t="inlineStr">
        <is>
          <t xml:space="preserve">Билборд</t>
        </is>
      </c>
      <c r="D399" t="inlineStr">
        <is>
          <t xml:space="preserve">6×3</t>
        </is>
      </c>
      <c r="E399" t="inlineStr">
        <is>
          <t xml:space="preserve">A, B</t>
        </is>
      </c>
      <c r="F399" s="2" t="str">
        <f>HYPERLINK("https://yandex.ru/maps/?pt=73.398769,54.973445&amp;z=17","открыть")</f>
        <v>открыть</v>
      </c>
      <c r="G399" s="2" t="str">
        <f>HYPERLINK("https://mediafasadomsk.com/surfaces/bb-kujbysheva-ul-134-1-a-900.jpg","смотреть")</f>
        <v>смотреть</v>
      </c>
      <c r="H399">
        <v>54.973445</v>
      </c>
      <c r="I399">
        <v>73.398769</v>
      </c>
    </row>
    <row r="400">
      <c r="A400">
        <v>399</v>
      </c>
      <c r="B400" t="inlineStr">
        <is>
          <t xml:space="preserve">Куйбышева, 148/1</t>
        </is>
      </c>
      <c r="C400" t="inlineStr">
        <is>
          <t xml:space="preserve">Билборд</t>
        </is>
      </c>
      <c r="D400" t="inlineStr">
        <is>
          <t xml:space="preserve">6×3</t>
        </is>
      </c>
      <c r="E400" t="inlineStr">
        <is>
          <t xml:space="preserve">A</t>
        </is>
      </c>
      <c r="F400" s="2" t="str">
        <f>HYPERLINK("https://yandex.ru/maps/?pt=73.399895,54.967011&amp;z=17","открыть")</f>
        <v>открыть</v>
      </c>
      <c r="G400" s="2" t="str">
        <f>HYPERLINK("https://mediafasadomsk.com/surfaces/bb-kujbysheva-ul-148-korp-1-a-900.jpg","смотреть")</f>
        <v>смотреть</v>
      </c>
      <c r="H400">
        <v>54.967011</v>
      </c>
      <c r="I400">
        <v>73.399895</v>
      </c>
    </row>
    <row r="401">
      <c r="A401">
        <v>400</v>
      </c>
      <c r="B401" t="inlineStr">
        <is>
          <t xml:space="preserve">Куйбышева, 150</t>
        </is>
      </c>
      <c r="C401" t="inlineStr">
        <is>
          <t xml:space="preserve">Билборд</t>
        </is>
      </c>
      <c r="D401" t="inlineStr">
        <is>
          <t xml:space="preserve">6×3</t>
        </is>
      </c>
      <c r="E401" t="inlineStr">
        <is>
          <t xml:space="preserve">A</t>
        </is>
      </c>
      <c r="F401" s="2" t="str">
        <f>HYPERLINK("https://yandex.ru/maps/?pt=73.40012,54.966696&amp;z=17","открыть")</f>
        <v>открыть</v>
      </c>
      <c r="G401" s="2" t="str">
        <f>HYPERLINK("https://mediafasadomsk.com/surfaces/bb-kujbysheva-ul-150-a-900.jpg","смотреть")</f>
        <v>смотреть</v>
      </c>
      <c r="H401">
        <v>54.966696</v>
      </c>
      <c r="I401">
        <v>73.40012</v>
      </c>
    </row>
    <row r="402">
      <c r="A402">
        <v>401</v>
      </c>
      <c r="B402" t="inlineStr">
        <is>
          <t xml:space="preserve">Куйбышева, 29</t>
        </is>
      </c>
      <c r="C402" t="inlineStr">
        <is>
          <t xml:space="preserve">Билборд</t>
        </is>
      </c>
      <c r="D402" t="inlineStr">
        <is>
          <t xml:space="preserve">6×3</t>
        </is>
      </c>
      <c r="E402" t="inlineStr">
        <is>
          <t xml:space="preserve">A, B</t>
        </is>
      </c>
      <c r="F402" s="2" t="str">
        <f>HYPERLINK("https://yandex.ru/maps/?pt=73.396791,54.986939&amp;z=17","открыть")</f>
        <v>открыть</v>
      </c>
      <c r="G402" s="2" t="str">
        <f>HYPERLINK("https://mediafasadomsk.com/surfaces/bb-kujbysheva-ul-29-a-900.jpg","смотреть")</f>
        <v>смотреть</v>
      </c>
      <c r="H402">
        <v>54.986939</v>
      </c>
      <c r="I402">
        <v>73.396791</v>
      </c>
    </row>
    <row r="403">
      <c r="A403">
        <v>402</v>
      </c>
      <c r="B403" t="inlineStr">
        <is>
          <t xml:space="preserve">Куйбышева, 30</t>
        </is>
      </c>
      <c r="C403" t="inlineStr">
        <is>
          <t xml:space="preserve">Билборд</t>
        </is>
      </c>
      <c r="D403" t="inlineStr">
        <is>
          <t xml:space="preserve">6×3</t>
        </is>
      </c>
      <c r="E403" t="inlineStr">
        <is>
          <t xml:space="preserve">A, B</t>
        </is>
      </c>
      <c r="F403" s="2" t="str">
        <f>HYPERLINK("https://yandex.ru/maps/?pt=73.39642076924302,54.98788261914183&amp;z=17","открыть")</f>
        <v>открыть</v>
      </c>
      <c r="G403" s="2" t="str">
        <f>HYPERLINK("https://mediafasadomsk.com/surfaces/bb-kujbysheva-ul-30-a-900.jpg","смотреть")</f>
        <v>смотреть</v>
      </c>
      <c r="H403">
        <v>54.98788261914183</v>
      </c>
      <c r="I403">
        <v>73.39642076924302</v>
      </c>
    </row>
    <row r="404">
      <c r="A404">
        <v>403</v>
      </c>
      <c r="B404" t="inlineStr">
        <is>
          <t xml:space="preserve">Куйбышева, 31</t>
        </is>
      </c>
      <c r="C404" t="inlineStr">
        <is>
          <t xml:space="preserve">Билборд</t>
        </is>
      </c>
      <c r="D404" t="inlineStr">
        <is>
          <t xml:space="preserve">6×3</t>
        </is>
      </c>
      <c r="E404" t="inlineStr">
        <is>
          <t xml:space="preserve">A, B</t>
        </is>
      </c>
      <c r="F404" s="2" t="str">
        <f>HYPERLINK("https://yandex.ru/maps/?pt=73.39683382943105,54.98667916082008&amp;z=17","открыть")</f>
        <v>открыть</v>
      </c>
      <c r="G404" s="2" t="str">
        <f>HYPERLINK("https://mediafasadomsk.com/surfaces/bb-kujbysheva-ul-31-a-900.jpg","смотреть")</f>
        <v>смотреть</v>
      </c>
      <c r="H404">
        <v>54.98667916082008</v>
      </c>
      <c r="I404">
        <v>73.39683382943105</v>
      </c>
    </row>
    <row r="405">
      <c r="A405">
        <v>404</v>
      </c>
      <c r="B405" t="inlineStr">
        <is>
          <t xml:space="preserve">Куйбышева, 31 (у пересечения с улицей 10 лет Октября, светофор)</t>
        </is>
      </c>
      <c r="C405" t="inlineStr">
        <is>
          <t xml:space="preserve">Цифровой билборд</t>
        </is>
      </c>
      <c r="D405" t="inlineStr">
        <is>
          <t xml:space="preserve">6×3</t>
        </is>
      </c>
      <c r="E405" t="inlineStr">
        <is>
          <t xml:space="preserve">A1</t>
        </is>
      </c>
      <c r="F405" s="2" t="str">
        <f>HYPERLINK("https://yandex.ru/maps/?pt=73.39704036676696,54.985137094808735&amp;z=17","открыть")</f>
        <v>открыть</v>
      </c>
      <c r="G405" s="2" t="str">
        <f>HYPERLINK("https://mediafasadomsk.com/surfaces/bb-kujbysheva-ul-31-h-s-ul-10-let-oktyabrya-svetofor-a-900.jpg","смотреть")</f>
        <v>смотреть</v>
      </c>
      <c r="H405">
        <v>54.985137094808735</v>
      </c>
      <c r="I405">
        <v>73.39704036676696</v>
      </c>
    </row>
    <row r="406">
      <c r="A406">
        <v>405</v>
      </c>
      <c r="B406" t="inlineStr">
        <is>
          <t xml:space="preserve">Куйбышева, 31 (у пересечения с улицей 10 лет Октября, светофор)</t>
        </is>
      </c>
      <c r="C406" t="inlineStr">
        <is>
          <t xml:space="preserve">Билборд</t>
        </is>
      </c>
      <c r="D406" t="inlineStr">
        <is>
          <t xml:space="preserve">6×3</t>
        </is>
      </c>
      <c r="E406" t="inlineStr">
        <is>
          <t xml:space="preserve">B</t>
        </is>
      </c>
      <c r="F406" s="2" t="str">
        <f>HYPERLINK("https://yandex.ru/maps/?pt=73.39704036676696,54.985137094808735&amp;z=17","открыть")</f>
        <v>открыть</v>
      </c>
      <c r="G406" s="2" t="str">
        <f>HYPERLINK("https://mediafasadomsk.com/surfaces/bb-kujbysheva-ul-31-h-s-ul-10-let-oktyabrya-svetofor-b-a-900.jpg","смотреть")</f>
        <v>смотреть</v>
      </c>
      <c r="H406">
        <v>54.985137094808735</v>
      </c>
      <c r="I406">
        <v>73.39704036676696</v>
      </c>
    </row>
    <row r="407">
      <c r="A407">
        <v>406</v>
      </c>
      <c r="B407" t="inlineStr">
        <is>
          <t xml:space="preserve">Куйбышева, 43 (у пересечения с улицей Лермонтова, светофор)</t>
        </is>
      </c>
      <c r="C407" t="inlineStr">
        <is>
          <t xml:space="preserve">Билборд</t>
        </is>
      </c>
      <c r="D407" t="inlineStr">
        <is>
          <t xml:space="preserve">6×3</t>
        </is>
      </c>
      <c r="E407" t="inlineStr">
        <is>
          <t xml:space="preserve">A, B</t>
        </is>
      </c>
      <c r="F407" s="2" t="str">
        <f>HYPERLINK("https://yandex.ru/maps/?pt=73.39740246334863,54.98289928427732&amp;z=17","открыть")</f>
        <v>открыть</v>
      </c>
      <c r="G407" s="2" t="str">
        <f>HYPERLINK("https://mediafasadomsk.com/surfaces/bb-kujbysheva-ul-43-h-s-ul-lermontova-svetofor-a-900.jpg","смотреть")</f>
        <v>смотреть</v>
      </c>
      <c r="H407">
        <v>54.98289928427732</v>
      </c>
      <c r="I407">
        <v>73.39740246334863</v>
      </c>
    </row>
    <row r="408">
      <c r="A408">
        <v>407</v>
      </c>
      <c r="B408" t="inlineStr">
        <is>
          <t xml:space="preserve">Куйбышева, 54</t>
        </is>
      </c>
      <c r="C408" t="inlineStr">
        <is>
          <t xml:space="preserve">Билборд</t>
        </is>
      </c>
      <c r="D408" t="inlineStr">
        <is>
          <t xml:space="preserve">6×3</t>
        </is>
      </c>
      <c r="E408" t="inlineStr">
        <is>
          <t xml:space="preserve">A, B</t>
        </is>
      </c>
      <c r="F408" s="2" t="str">
        <f>HYPERLINK("https://yandex.ru/maps/?pt=73.39740246334863,54.98206816224127&amp;z=17","открыть")</f>
        <v>открыть</v>
      </c>
      <c r="G408" s="2" t="str">
        <f>HYPERLINK("https://mediafasadomsk.com/surfaces/bb-kujbysheva-ul-54-a-900.jpg","смотреть")</f>
        <v>смотреть</v>
      </c>
      <c r="H408">
        <v>54.98206816224127</v>
      </c>
      <c r="I408">
        <v>73.39740246334863</v>
      </c>
    </row>
    <row r="409">
      <c r="A409">
        <v>408</v>
      </c>
      <c r="B409" t="inlineStr">
        <is>
          <t xml:space="preserve">Куйбышева, 54 (у пересечения с улицей Лермонтова, светофор)</t>
        </is>
      </c>
      <c r="C409" t="inlineStr">
        <is>
          <t xml:space="preserve">Билборд</t>
        </is>
      </c>
      <c r="D409" t="inlineStr">
        <is>
          <t xml:space="preserve">6×3</t>
        </is>
      </c>
      <c r="E409" t="inlineStr">
        <is>
          <t xml:space="preserve">A, B</t>
        </is>
      </c>
      <c r="F409" s="2" t="str">
        <f>HYPERLINK("https://yandex.ru/maps/?pt=73.39717983999972,54.98263149999997&amp;z=17","открыть")</f>
        <v>открыть</v>
      </c>
      <c r="G409" s="2" t="str">
        <f>HYPERLINK("https://mediafasadomsk.com/surfaces/bb-kujbysheva-ul-54-h-s-ul-lermontova-svetofor-a-900.jpg","смотреть")</f>
        <v>смотреть</v>
      </c>
      <c r="H409">
        <v>54.98263149999997</v>
      </c>
      <c r="I409">
        <v>73.39717983999972</v>
      </c>
    </row>
    <row r="410">
      <c r="A410">
        <v>409</v>
      </c>
      <c r="B410" t="inlineStr">
        <is>
          <t xml:space="preserve">Куйбышева, напротив дома 54</t>
        </is>
      </c>
      <c r="C410" t="inlineStr">
        <is>
          <t xml:space="preserve">Билборд</t>
        </is>
      </c>
      <c r="D410" t="inlineStr">
        <is>
          <t xml:space="preserve">6×3</t>
        </is>
      </c>
      <c r="E410" t="inlineStr">
        <is>
          <t xml:space="preserve">A, B</t>
        </is>
      </c>
      <c r="F410" s="2" t="str">
        <f>HYPERLINK("https://yandex.ru/maps/?pt=73.397685,54.981894&amp;z=17","открыть")</f>
        <v>открыть</v>
      </c>
      <c r="G410" s="2" t="str">
        <f>HYPERLINK("https://mediafasadomsk.com/surfaces/bb-kujbysheva-ul-54-naprotiv-a-900.jpg","смотреть")</f>
        <v>смотреть</v>
      </c>
      <c r="H410">
        <v>54.981894</v>
      </c>
      <c r="I410">
        <v>73.397685</v>
      </c>
    </row>
    <row r="411">
      <c r="A411">
        <v>410</v>
      </c>
      <c r="B411" t="inlineStr">
        <is>
          <t xml:space="preserve">Куйбышева, 62</t>
        </is>
      </c>
      <c r="C411" t="inlineStr">
        <is>
          <t xml:space="preserve">Билборд</t>
        </is>
      </c>
      <c r="D411" t="inlineStr">
        <is>
          <t xml:space="preserve">6×3</t>
        </is>
      </c>
      <c r="E411" t="inlineStr">
        <is>
          <t xml:space="preserve">A, B</t>
        </is>
      </c>
      <c r="F411" s="2" t="str">
        <f>HYPERLINK("https://yandex.ru/maps/?pt=73.39703768292264,54.983816587431484&amp;z=17","открыть")</f>
        <v>открыть</v>
      </c>
      <c r="G411" s="2" t="str">
        <f>HYPERLINK("https://mediafasadomsk.com/surfaces/bb-kujbysheva-ul-62-a-900.jpg","смотреть")</f>
        <v>смотреть</v>
      </c>
      <c r="H411">
        <v>54.983816587431484</v>
      </c>
      <c r="I411">
        <v>73.39703768292264</v>
      </c>
    </row>
    <row r="412">
      <c r="A412">
        <v>411</v>
      </c>
      <c r="B412" t="inlineStr">
        <is>
          <t xml:space="preserve">Куйбышева, 66</t>
        </is>
      </c>
      <c r="C412" t="inlineStr">
        <is>
          <t xml:space="preserve">Билборд</t>
        </is>
      </c>
      <c r="D412" t="inlineStr">
        <is>
          <t xml:space="preserve">6×3</t>
        </is>
      </c>
      <c r="E412" t="inlineStr">
        <is>
          <t xml:space="preserve">A, B</t>
        </is>
      </c>
      <c r="F412" s="2" t="str">
        <f>HYPERLINK("https://yandex.ru/maps/?pt=73.399198,54.973166&amp;z=17","открыть")</f>
        <v>открыть</v>
      </c>
      <c r="G412" s="2" t="str">
        <f>HYPERLINK("https://mediafasadomsk.com/surfaces/bb-kujbysheva-ul-66-a-900.jpg","смотреть")</f>
        <v>смотреть</v>
      </c>
      <c r="H412">
        <v>54.973166</v>
      </c>
      <c r="I412">
        <v>73.399198</v>
      </c>
    </row>
    <row r="413">
      <c r="A413">
        <v>412</v>
      </c>
      <c r="B413" t="inlineStr">
        <is>
          <t xml:space="preserve">Куйбышева, 69</t>
        </is>
      </c>
      <c r="C413" t="inlineStr">
        <is>
          <t xml:space="preserve">Билборд</t>
        </is>
      </c>
      <c r="D413" t="inlineStr">
        <is>
          <t xml:space="preserve">6×3</t>
        </is>
      </c>
      <c r="E413" t="inlineStr">
        <is>
          <t xml:space="preserve">A, B</t>
        </is>
      </c>
      <c r="F413" s="2" t="str">
        <f>HYPERLINK("https://yandex.ru/maps/?pt=73.397683,54.981223&amp;z=17","открыть")</f>
        <v>открыть</v>
      </c>
      <c r="G413" s="2" t="str">
        <f>HYPERLINK("https://mediafasadomsk.com/surfaces/bb-kujbysheva-ul-69-a-900.jpg","смотреть")</f>
        <v>смотреть</v>
      </c>
      <c r="H413">
        <v>54.981223</v>
      </c>
      <c r="I413">
        <v>73.397683</v>
      </c>
    </row>
    <row r="414">
      <c r="A414">
        <v>413</v>
      </c>
      <c r="B414" t="inlineStr">
        <is>
          <t xml:space="preserve">Куйбышева, 75</t>
        </is>
      </c>
      <c r="C414" t="inlineStr">
        <is>
          <t xml:space="preserve">Билборд</t>
        </is>
      </c>
      <c r="D414" t="inlineStr">
        <is>
          <t xml:space="preserve">6×3</t>
        </is>
      </c>
      <c r="E414" t="inlineStr">
        <is>
          <t xml:space="preserve">A, B</t>
        </is>
      </c>
      <c r="F414" s="2" t="str">
        <f>HYPERLINK("https://yandex.ru/maps/?pt=73.39792029199553,54.980397003432834&amp;z=17","открыть")</f>
        <v>открыть</v>
      </c>
      <c r="G414" s="2" t="str">
        <f>HYPERLINK("https://mediafasadomsk.com/surfaces/bb-kujbysheva-ul-75-a-900.jpg","смотреть")</f>
        <v>смотреть</v>
      </c>
      <c r="H414">
        <v>54.980397003432834</v>
      </c>
      <c r="I414">
        <v>73.39792029199553</v>
      </c>
    </row>
    <row r="415">
      <c r="A415">
        <v>414</v>
      </c>
      <c r="B415" t="inlineStr">
        <is>
          <t xml:space="preserve">Куйбышева, 77</t>
        </is>
      </c>
      <c r="C415" t="inlineStr">
        <is>
          <t xml:space="preserve">Билборд</t>
        </is>
      </c>
      <c r="D415" t="inlineStr">
        <is>
          <t xml:space="preserve">6×3</t>
        </is>
      </c>
      <c r="E415" t="inlineStr">
        <is>
          <t xml:space="preserve">A, B</t>
        </is>
      </c>
      <c r="F415" s="2" t="str">
        <f>HYPERLINK("https://yandex.ru/maps/?pt=73.39818314848034,54.97854072088477&amp;z=17","открыть")</f>
        <v>открыть</v>
      </c>
      <c r="G415" s="2" t="str">
        <f>HYPERLINK("https://mediafasadomsk.com/surfaces/bb-kujbysheva-ul-77-a-900.jpg","смотреть")</f>
        <v>смотреть</v>
      </c>
      <c r="H415">
        <v>54.97854072088477</v>
      </c>
      <c r="I415">
        <v>73.39818314848034</v>
      </c>
    </row>
    <row r="416">
      <c r="A416">
        <v>415</v>
      </c>
      <c r="B416" t="inlineStr">
        <is>
          <t xml:space="preserve">Куйбышева, чётная сторона, после пересечения с улицей 10 лет Октября (светофор)</t>
        </is>
      </c>
      <c r="C416" t="inlineStr">
        <is>
          <t xml:space="preserve">Билборд</t>
        </is>
      </c>
      <c r="D416" t="inlineStr">
        <is>
          <t xml:space="preserve">6×3</t>
        </is>
      </c>
      <c r="E416" t="inlineStr">
        <is>
          <t xml:space="preserve">A, B</t>
        </is>
      </c>
      <c r="F416" s="2" t="str">
        <f>HYPERLINK("https://yandex.ru/maps/?pt=73.39692234957006,54.98458611847273&amp;z=17","открыть")</f>
        <v>открыть</v>
      </c>
      <c r="G416" s="2" t="str">
        <f>HYPERLINK("https://mediafasadomsk.com/surfaces/bb-kujbysheva-ul-chetnaya-storona-posle-h-s-ul-10-let-oktyabrya-svetofor-a-900.jpg","смотреть")</f>
        <v>смотреть</v>
      </c>
      <c r="H416">
        <v>54.98458611847273</v>
      </c>
      <c r="I416">
        <v>73.39692234957006</v>
      </c>
    </row>
    <row r="417">
      <c r="A417">
        <v>416</v>
      </c>
      <c r="B417" t="inlineStr">
        <is>
          <t xml:space="preserve">Пересечение Куйбышева и Маяковского (дом 67)</t>
        </is>
      </c>
      <c r="C417" t="inlineStr">
        <is>
          <t xml:space="preserve">Билборд</t>
        </is>
      </c>
      <c r="D417" t="inlineStr">
        <is>
          <t xml:space="preserve">6×3</t>
        </is>
      </c>
      <c r="E417" t="inlineStr">
        <is>
          <t xml:space="preserve">A</t>
        </is>
      </c>
      <c r="F417" s="2" t="str">
        <f>HYPERLINK("https://yandex.ru/maps/?pt=73.399169,54.97161&amp;z=17","открыть")</f>
        <v>открыть</v>
      </c>
      <c r="G417" s="2" t="str">
        <f>HYPERLINK("https://mediafasadomsk.com/surfaces/bb-kujbysheva-ul-mayakovskogo-ul-67-a-900.jpg","смотреть")</f>
        <v>смотреть</v>
      </c>
      <c r="H417">
        <v>54.97161</v>
      </c>
      <c r="I417">
        <v>73.399169</v>
      </c>
    </row>
    <row r="418">
      <c r="A418">
        <v>417</v>
      </c>
      <c r="B418" t="inlineStr">
        <is>
          <t xml:space="preserve">Ленина, 50</t>
        </is>
      </c>
      <c r="C418" t="inlineStr">
        <is>
          <t xml:space="preserve">Билборд</t>
        </is>
      </c>
      <c r="D418" t="inlineStr">
        <is>
          <t xml:space="preserve">6×3</t>
        </is>
      </c>
      <c r="E418" t="inlineStr">
        <is>
          <t xml:space="preserve">A</t>
        </is>
      </c>
      <c r="F418" s="2" t="str">
        <f>HYPERLINK("https://yandex.ru/maps/?pt=73.379342,54.970123&amp;z=17","открыть")</f>
        <v>открыть</v>
      </c>
      <c r="G418" s="2" t="str">
        <f>HYPERLINK("https://mediafasadomsk.com/surfaces/bb-lenina-ul-50-a-900.jpg","смотреть")</f>
        <v>смотреть</v>
      </c>
      <c r="H418">
        <v>54.970123</v>
      </c>
      <c r="I418">
        <v>73.379342</v>
      </c>
    </row>
    <row r="419">
      <c r="A419">
        <v>418</v>
      </c>
      <c r="B419" t="inlineStr">
        <is>
          <t xml:space="preserve">Ленинградская площадь, 1, въезд на Ленинградский мост (светофор)</t>
        </is>
      </c>
      <c r="C419" t="inlineStr">
        <is>
          <t xml:space="preserve">Цифровой билборд</t>
        </is>
      </c>
      <c r="D419" t="inlineStr">
        <is>
          <t xml:space="preserve">6×3</t>
        </is>
      </c>
      <c r="E419" t="inlineStr">
        <is>
          <t xml:space="preserve">A1</t>
        </is>
      </c>
      <c r="F419" s="2" t="str">
        <f>HYPERLINK("https://yandex.ru/maps/?pt=73.37829230423,54.9726832477972&amp;z=17","открыть")</f>
        <v>открыть</v>
      </c>
      <c r="G419" s="2" t="str">
        <f>HYPERLINK("https://mediafasadomsk.com/surfaces/bb-leningradskaya-ploshchad-1-vezd-na-leningradskij-most-svetofor-a-900.jpg","смотреть")</f>
        <v>смотреть</v>
      </c>
      <c r="H419">
        <v>54.9726832477972</v>
      </c>
      <c r="I419">
        <v>73.37829230423</v>
      </c>
    </row>
    <row r="420">
      <c r="A420">
        <v>419</v>
      </c>
      <c r="B420" t="inlineStr">
        <is>
          <t xml:space="preserve">Ленинградская площадь, 2, съезд с Ленинградского моста (светофор)</t>
        </is>
      </c>
      <c r="C420" t="inlineStr">
        <is>
          <t xml:space="preserve">Билборд</t>
        </is>
      </c>
      <c r="D420" t="inlineStr">
        <is>
          <t xml:space="preserve">6×3</t>
        </is>
      </c>
      <c r="E420" t="inlineStr">
        <is>
          <t xml:space="preserve">A, B</t>
        </is>
      </c>
      <c r="F420" s="2" t="str">
        <f>HYPERLINK("https://yandex.ru/maps/?pt=73.37803481216454,54.97240613576763&amp;z=17","открыть")</f>
        <v>открыть</v>
      </c>
      <c r="G420" s="2" t="str">
        <f>HYPERLINK("https://mediafasadomsk.com/surfaces/bb-leningradskaya-ploshchad-2-sezd-s-leningradskogo-mosta-svetofor-a-900.jpg","смотреть")</f>
        <v>смотреть</v>
      </c>
      <c r="H420">
        <v>54.97240613576763</v>
      </c>
      <c r="I420">
        <v>73.37803481216454</v>
      </c>
    </row>
    <row r="421">
      <c r="A421">
        <v>420</v>
      </c>
      <c r="B421" t="inlineStr">
        <is>
          <t xml:space="preserve">Ленинградский мост (из центра №3)</t>
        </is>
      </c>
      <c r="C421" t="inlineStr">
        <is>
          <t xml:space="preserve">Цифровой билборд</t>
        </is>
      </c>
      <c r="D421" t="inlineStr">
        <is>
          <t xml:space="preserve">6×3</t>
        </is>
      </c>
      <c r="E421" t="inlineStr">
        <is>
          <t xml:space="preserve">A, B</t>
        </is>
      </c>
      <c r="F421" s="2" t="str">
        <f>HYPERLINK("https://yandex.ru/maps/?pt=73.358298,54.969174&amp;z=17","открыть")</f>
        <v>открыть</v>
      </c>
      <c r="G421" s="2" t="str">
        <f>HYPERLINK("https://mediafasadomsk.com/surfaces/bb-leningradskij-most-iz-centra-3-a-900.jpg","смотреть")</f>
        <v>смотреть</v>
      </c>
      <c r="H421">
        <v>54.969174</v>
      </c>
      <c r="I421">
        <v>73.358298</v>
      </c>
    </row>
    <row r="422">
      <c r="A422">
        <v>421</v>
      </c>
      <c r="B422" t="inlineStr">
        <is>
          <t xml:space="preserve">Ленинградский мост (из центра №3)</t>
        </is>
      </c>
      <c r="C422" t="inlineStr">
        <is>
          <t xml:space="preserve">Билборд</t>
        </is>
      </c>
      <c r="D422" t="inlineStr">
        <is>
          <t xml:space="preserve">6×3</t>
        </is>
      </c>
      <c r="E422" t="inlineStr">
        <is>
          <t xml:space="preserve">A, B</t>
        </is>
      </c>
      <c r="F422" s="2" t="str">
        <f>HYPERLINK("https://yandex.ru/maps/?pt=73.358298,54.969174&amp;z=17","открыть")</f>
        <v>открыть</v>
      </c>
      <c r="G422" s="2" t="str">
        <f>HYPERLINK("https://mediafasadomsk.com/surfaces/bb-leningradskij-most-iz-centra-3-2-a-900.jpg","смотреть")</f>
        <v>смотреть</v>
      </c>
      <c r="H422">
        <v>54.969174</v>
      </c>
      <c r="I422">
        <v>73.358298</v>
      </c>
    </row>
    <row r="423">
      <c r="A423">
        <v>422</v>
      </c>
      <c r="B423" t="inlineStr">
        <is>
          <t xml:space="preserve">Ленинградский мост (из центра №7)</t>
        </is>
      </c>
      <c r="C423" t="inlineStr">
        <is>
          <t xml:space="preserve">Билборд</t>
        </is>
      </c>
      <c r="D423" t="inlineStr">
        <is>
          <t xml:space="preserve">6×3</t>
        </is>
      </c>
      <c r="E423" t="inlineStr">
        <is>
          <t xml:space="preserve">A, B</t>
        </is>
      </c>
      <c r="F423" s="2" t="str">
        <f>HYPERLINK("https://yandex.ru/maps/?pt=73.364096,54.970107&amp;z=17","открыть")</f>
        <v>открыть</v>
      </c>
      <c r="G423" s="2" t="str">
        <f>HYPERLINK("https://mediafasadomsk.com/surfaces/bb-leningradskij-most-iz-centra-7-a-900.jpg","смотреть")</f>
        <v>смотреть</v>
      </c>
      <c r="H423">
        <v>54.970107</v>
      </c>
      <c r="I423">
        <v>73.364096</v>
      </c>
    </row>
    <row r="424">
      <c r="A424">
        <v>423</v>
      </c>
      <c r="B424" t="inlineStr">
        <is>
          <t xml:space="preserve">Ленинградский проспект, 200 м после съезда с Ленинградского моста</t>
        </is>
      </c>
      <c r="C424" t="inlineStr">
        <is>
          <t xml:space="preserve">Билборд</t>
        </is>
      </c>
      <c r="D424" t="inlineStr">
        <is>
          <t xml:space="preserve">6×3</t>
        </is>
      </c>
      <c r="E424" t="inlineStr">
        <is>
          <t xml:space="preserve">A, B</t>
        </is>
      </c>
      <c r="F424" s="2" t="str">
        <f>HYPERLINK("https://yandex.ru/maps/?pt=73.36364317502942,54.970004857786854&amp;z=17","открыть")</f>
        <v>открыть</v>
      </c>
      <c r="G424" s="2" t="str">
        <f>HYPERLINK("https://mediafasadomsk.com/surfaces/bb-leningradskij-prospekt-200-m-posle-sezda-s-leningradskogo-mosta-a-900.jpg","смотреть")</f>
        <v>смотреть</v>
      </c>
      <c r="H424">
        <v>54.970004857786854</v>
      </c>
      <c r="I424">
        <v>73.36364317502942</v>
      </c>
    </row>
    <row r="425">
      <c r="A425">
        <v>424</v>
      </c>
      <c r="B425" t="inlineStr">
        <is>
          <t xml:space="preserve">Ленинградский проспект, 250 м до въезда на Тюкалинскую развязку</t>
        </is>
      </c>
      <c r="C425" t="inlineStr">
        <is>
          <t xml:space="preserve">Билборд</t>
        </is>
      </c>
      <c r="D425" t="inlineStr">
        <is>
          <t xml:space="preserve">6×3</t>
        </is>
      </c>
      <c r="E425" t="inlineStr">
        <is>
          <t xml:space="preserve">A, B</t>
        </is>
      </c>
      <c r="F425" s="2" t="str">
        <f>HYPERLINK("https://yandex.ru/maps/?pt=73.34976006116462,54.9672859461685&amp;z=17","открыть")</f>
        <v>открыть</v>
      </c>
      <c r="G425" s="2" t="str">
        <f>HYPERLINK("https://mediafasadomsk.com/surfaces/bb-leningradskij-prospekt-250-m-do-vezda-na-tyukalinskuyu-razvyazku-a-900.jpg","смотреть")</f>
        <v>смотреть</v>
      </c>
      <c r="H425">
        <v>54.9672859461685</v>
      </c>
      <c r="I425">
        <v>73.34976006116462</v>
      </c>
    </row>
    <row r="426">
      <c r="A426">
        <v>425</v>
      </c>
      <c r="B426" t="inlineStr">
        <is>
          <t xml:space="preserve">Ленинградский проспект, 350 м до въезда на Тюкалинскую развязку</t>
        </is>
      </c>
      <c r="C426" t="inlineStr">
        <is>
          <t xml:space="preserve">Билборд</t>
        </is>
      </c>
      <c r="D426" t="inlineStr">
        <is>
          <t xml:space="preserve">6×3</t>
        </is>
      </c>
      <c r="E426" t="inlineStr">
        <is>
          <t xml:space="preserve">A, B</t>
        </is>
      </c>
      <c r="F426" s="2" t="str">
        <f>HYPERLINK("https://yandex.ru/maps/?pt=73.35129428472098,54.967593842884206&amp;z=17","открыть")</f>
        <v>открыть</v>
      </c>
      <c r="G426" s="2" t="str">
        <f>HYPERLINK("https://mediafasadomsk.com/surfaces/bb-leningradskij-prospekt-350-m-do-vezda-na-tyukalinskuyu-razvyazku-a-900.jpg","смотреть")</f>
        <v>смотреть</v>
      </c>
      <c r="H426">
        <v>54.967593842884206</v>
      </c>
      <c r="I426">
        <v>73.35129428472098</v>
      </c>
    </row>
    <row r="427">
      <c r="A427">
        <v>426</v>
      </c>
      <c r="B427" t="inlineStr">
        <is>
          <t xml:space="preserve">Ленинградский проспект, 350 м после съезда с Ленинградского моста</t>
        </is>
      </c>
      <c r="C427" t="inlineStr">
        <is>
          <t xml:space="preserve">Билборд</t>
        </is>
      </c>
      <c r="D427" t="inlineStr">
        <is>
          <t xml:space="preserve">6×3</t>
        </is>
      </c>
      <c r="E427" t="inlineStr">
        <is>
          <t xml:space="preserve">A, B</t>
        </is>
      </c>
      <c r="F427" s="2" t="str">
        <f>HYPERLINK("https://yandex.ru/maps/?pt=73.36140621271097,54.96956766443826&amp;z=17","открыть")</f>
        <v>открыть</v>
      </c>
      <c r="G427" s="2" t="str">
        <f>HYPERLINK("https://mediafasadomsk.com/surfaces/bb-leningradskij-prospekt-350-m-posle-sezda-s-leningradskogo-mosta-a-900.jpg","смотреть")</f>
        <v>смотреть</v>
      </c>
      <c r="H427">
        <v>54.96956766443826</v>
      </c>
      <c r="I427">
        <v>73.36140621271097</v>
      </c>
    </row>
    <row r="428">
      <c r="A428">
        <v>427</v>
      </c>
      <c r="B428" t="inlineStr">
        <is>
          <t xml:space="preserve">Ленинградский проспект, 350 м после съезда с Тюкалинской развязки</t>
        </is>
      </c>
      <c r="C428" t="inlineStr">
        <is>
          <t xml:space="preserve">Билборд</t>
        </is>
      </c>
      <c r="D428" t="inlineStr">
        <is>
          <t xml:space="preserve">6×3</t>
        </is>
      </c>
      <c r="E428" t="inlineStr">
        <is>
          <t xml:space="preserve">A, B</t>
        </is>
      </c>
      <c r="F428" s="2" t="str">
        <f>HYPERLINK("https://yandex.ru/maps/?pt=73.35142839517248,54.96735367458775&amp;z=17","открыть")</f>
        <v>открыть</v>
      </c>
      <c r="G428" s="2" t="str">
        <f>HYPERLINK("https://mediafasadomsk.com/surfaces/bb-leningradskij-prospekt-350-m-posle-sezda-s-tyukalinskoj-razvyazki-a-900.jpg","смотреть")</f>
        <v>смотреть</v>
      </c>
      <c r="H428">
        <v>54.96735367458775</v>
      </c>
      <c r="I428">
        <v>73.35142839517248</v>
      </c>
    </row>
    <row r="429">
      <c r="A429">
        <v>428</v>
      </c>
      <c r="B429" t="inlineStr">
        <is>
          <t xml:space="preserve">Ленинградский проспект, 500 м до въезда на Тюкалинскую развязку</t>
        </is>
      </c>
      <c r="C429" t="inlineStr">
        <is>
          <t xml:space="preserve">Билборд</t>
        </is>
      </c>
      <c r="D429" t="inlineStr">
        <is>
          <t xml:space="preserve">6×3</t>
        </is>
      </c>
      <c r="E429" t="inlineStr">
        <is>
          <t xml:space="preserve">A, B</t>
        </is>
      </c>
      <c r="F429" s="2" t="str">
        <f>HYPERLINK("https://yandex.ru/maps/?pt=73.35465748618986,54.96825680991978&amp;z=17","открыть")</f>
        <v>открыть</v>
      </c>
      <c r="G429" s="2" t="str">
        <f>HYPERLINK("https://mediafasadomsk.com/surfaces/bb-leningradskij-prospekt-500-m-do-vezda-na-tyukalinskuyu-razvyazku-a-900.jpg","смотреть")</f>
        <v>смотреть</v>
      </c>
      <c r="H429">
        <v>54.96825680991978</v>
      </c>
      <c r="I429">
        <v>73.35465748618986</v>
      </c>
    </row>
    <row r="430">
      <c r="A430">
        <v>429</v>
      </c>
      <c r="B430" t="inlineStr">
        <is>
          <t xml:space="preserve">Ленинградский проспект, 500 м после съезда с Ленинградского моста</t>
        </is>
      </c>
      <c r="C430" t="inlineStr">
        <is>
          <t xml:space="preserve">Билборд</t>
        </is>
      </c>
      <c r="D430" t="inlineStr">
        <is>
          <t xml:space="preserve">6×3</t>
        </is>
      </c>
      <c r="E430" t="inlineStr">
        <is>
          <t xml:space="preserve">A, B</t>
        </is>
      </c>
      <c r="F430" s="2" t="str">
        <f>HYPERLINK("https://yandex.ru/maps/?pt=73.35936236943961,54.969139647815176&amp;z=17","открыть")</f>
        <v>открыть</v>
      </c>
      <c r="G430" s="2" t="str">
        <f>HYPERLINK("https://mediafasadomsk.com/surfaces/bb-leningradskij-prospekt-500-m-posle-sezda-s-leningradskogo-mosta-a-900.jpg","смотреть")</f>
        <v>смотреть</v>
      </c>
      <c r="H430">
        <v>54.969139647815176</v>
      </c>
      <c r="I430">
        <v>73.35936236943961</v>
      </c>
    </row>
    <row r="431">
      <c r="A431">
        <v>430</v>
      </c>
      <c r="B431" t="inlineStr">
        <is>
          <t xml:space="preserve">Ленинградский проспект, 500 м после съезда с Тюкалинской развязки</t>
        </is>
      </c>
      <c r="C431" t="inlineStr">
        <is>
          <t xml:space="preserve">Билборд</t>
        </is>
      </c>
      <c r="D431" t="inlineStr">
        <is>
          <t xml:space="preserve">6×3</t>
        </is>
      </c>
      <c r="E431" t="inlineStr">
        <is>
          <t xml:space="preserve">A, B</t>
        </is>
      </c>
      <c r="F431" s="2" t="str">
        <f>HYPERLINK("https://yandex.ru/maps/?pt=73.35483987640285,54.968022781535886&amp;z=17","открыть")</f>
        <v>открыть</v>
      </c>
      <c r="G431" s="2" t="str">
        <f>HYPERLINK("https://mediafasadomsk.com/surfaces/bb-leningradskij-prospekt-500-m-posle-sezda-s-tyukalinskoj-razvyazki-a-900.jpg","смотреть")</f>
        <v>смотреть</v>
      </c>
      <c r="H431">
        <v>54.968022781535886</v>
      </c>
      <c r="I431">
        <v>73.35483987640285</v>
      </c>
    </row>
    <row r="432">
      <c r="A432">
        <v>431</v>
      </c>
      <c r="B432" t="inlineStr">
        <is>
          <t xml:space="preserve">Ленинградский проспект, 550 м после съезда с Ленинградского моста</t>
        </is>
      </c>
      <c r="C432" t="inlineStr">
        <is>
          <t xml:space="preserve">Билборд</t>
        </is>
      </c>
      <c r="D432" t="inlineStr">
        <is>
          <t xml:space="preserve">6×3</t>
        </is>
      </c>
      <c r="E432" t="inlineStr">
        <is>
          <t xml:space="preserve">A, B</t>
        </is>
      </c>
      <c r="F432" s="2" t="str">
        <f>HYPERLINK("https://yandex.ru/maps/?pt=73.35838604535805,54.96894257494132&amp;z=17","открыть")</f>
        <v>открыть</v>
      </c>
      <c r="G432" s="2" t="str">
        <f>HYPERLINK("https://mediafasadomsk.com/surfaces/bb-leningradskij-prospekt-550-m-posle-sezda-s-leningradskogo-mosta-a-900.jpg","смотреть")</f>
        <v>смотреть</v>
      </c>
      <c r="H432">
        <v>54.96894257494132</v>
      </c>
      <c r="I432">
        <v>73.35838604535805</v>
      </c>
    </row>
    <row r="433">
      <c r="A433">
        <v>432</v>
      </c>
      <c r="B433" t="inlineStr">
        <is>
          <t xml:space="preserve">Ленинградский проспект, 600 м после съезда с Тюкалинской развязки</t>
        </is>
      </c>
      <c r="C433" t="inlineStr">
        <is>
          <t xml:space="preserve">Билборд</t>
        </is>
      </c>
      <c r="D433" t="inlineStr">
        <is>
          <t xml:space="preserve">6×3</t>
        </is>
      </c>
      <c r="E433" t="inlineStr">
        <is>
          <t xml:space="preserve">A, B</t>
        </is>
      </c>
      <c r="F433" s="2" t="str">
        <f>HYPERLINK("https://yandex.ru/maps/?pt=73.35684616874624,54.96837993879879&amp;z=17","открыть")</f>
        <v>открыть</v>
      </c>
      <c r="G433" s="2" t="str">
        <f>HYPERLINK("https://mediafasadomsk.com/surfaces/bb-leningradskij-prospekt-600-m-posle-sezda-s-tyukalinskoj-razvyazki-a-900.jpg","смотреть")</f>
        <v>смотреть</v>
      </c>
      <c r="H433">
        <v>54.96837993879879</v>
      </c>
      <c r="I433">
        <v>73.35684616874624</v>
      </c>
    </row>
    <row r="434">
      <c r="A434">
        <v>433</v>
      </c>
      <c r="B434" t="inlineStr">
        <is>
          <t xml:space="preserve">Ленинградский проспект (между остановкой Парк Победы и улицей 3-я Островская)</t>
        </is>
      </c>
      <c r="C434" t="inlineStr">
        <is>
          <t xml:space="preserve">Билборд</t>
        </is>
      </c>
      <c r="D434" t="inlineStr">
        <is>
          <t xml:space="preserve">6×3</t>
        </is>
      </c>
      <c r="E434" t="inlineStr">
        <is>
          <t xml:space="preserve">A, B</t>
        </is>
      </c>
      <c r="F434" s="2" t="str">
        <f>HYPERLINK("https://yandex.ru/maps/?pt=73.358561,54.968737&amp;z=17","открыть")</f>
        <v>открыть</v>
      </c>
      <c r="G434" s="2" t="str">
        <f>HYPERLINK("https://mediafasadomsk.com/surfaces/bb-leningradskij-prospekt-mezhdu-oot-park-pobedy-i-ul-3-ya-ostrovskaya-a-900.jpg","смотреть")</f>
        <v>смотреть</v>
      </c>
      <c r="H434">
        <v>54.968737</v>
      </c>
      <c r="I434">
        <v>73.358561</v>
      </c>
    </row>
    <row r="435">
      <c r="A435">
        <v>434</v>
      </c>
      <c r="B435" t="inlineStr">
        <is>
          <t xml:space="preserve">Лизы Чайкиной, 12, съезд на улицу Берникова</t>
        </is>
      </c>
      <c r="C435" t="inlineStr">
        <is>
          <t xml:space="preserve">Цифровой билборд</t>
        </is>
      </c>
      <c r="D435" t="inlineStr">
        <is>
          <t xml:space="preserve">6×3</t>
        </is>
      </c>
      <c r="E435" t="inlineStr">
        <is>
          <t xml:space="preserve">A1</t>
        </is>
      </c>
      <c r="F435" s="2" t="str">
        <f>HYPERLINK("https://yandex.ru/maps/?pt=73.43433207440415,54.96752973177533&amp;z=17","открыть")</f>
        <v>открыть</v>
      </c>
      <c r="G435" s="2" t="str">
        <f>HYPERLINK("https://mediafasadomsk.com/surfaces/bb-lizy-chajkinoj-ul-12-sezd-na-ul-bernikova-a-900.jpg","смотреть")</f>
        <v>смотреть</v>
      </c>
      <c r="H435">
        <v>54.96752973177533</v>
      </c>
      <c r="I435">
        <v>73.43433207440415</v>
      </c>
    </row>
    <row r="436">
      <c r="A436">
        <v>435</v>
      </c>
      <c r="B436" t="inlineStr">
        <is>
          <t xml:space="preserve">Лизы Чайкиной, 12, съезд на улицу Берникова</t>
        </is>
      </c>
      <c r="C436" t="inlineStr">
        <is>
          <t xml:space="preserve">Билборд</t>
        </is>
      </c>
      <c r="D436" t="inlineStr">
        <is>
          <t xml:space="preserve">6×3</t>
        </is>
      </c>
      <c r="E436" t="inlineStr">
        <is>
          <t xml:space="preserve">B</t>
        </is>
      </c>
      <c r="F436" s="2" t="str">
        <f>HYPERLINK("https://yandex.ru/maps/?pt=73.43433207440415,54.96752973177533&amp;z=17","открыть")</f>
        <v>открыть</v>
      </c>
      <c r="G436" s="2" t="str">
        <f>HYPERLINK("https://mediafasadomsk.com/surfaces/bb-lizy-chajkinoj-ul-12-sezd-na-ul-bernikova-b-a-900.jpg","смотреть")</f>
        <v>смотреть</v>
      </c>
      <c r="H436">
        <v>54.96752973177533</v>
      </c>
      <c r="I436">
        <v>73.43433207440415</v>
      </c>
    </row>
    <row r="437">
      <c r="A437">
        <v>436</v>
      </c>
      <c r="B437" t="inlineStr">
        <is>
          <t xml:space="preserve">Лизы Чайкиной, напротив дома 23</t>
        </is>
      </c>
      <c r="C437" t="inlineStr">
        <is>
          <t xml:space="preserve">Билборд</t>
        </is>
      </c>
      <c r="D437" t="inlineStr">
        <is>
          <t xml:space="preserve">6×3</t>
        </is>
      </c>
      <c r="E437" t="inlineStr">
        <is>
          <t xml:space="preserve">A, B</t>
        </is>
      </c>
      <c r="F437" s="2" t="str">
        <f>HYPERLINK("https://yandex.ru/maps/?pt=73.431164,54.96738&amp;z=17","открыть")</f>
        <v>открыть</v>
      </c>
      <c r="G437" s="2" t="str">
        <f>HYPERLINK("https://mediafasadomsk.com/surfaces/bb-lizy-chajkinoj-ul-23-naprotiv-a-900.jpg","смотреть")</f>
        <v>смотреть</v>
      </c>
      <c r="H437">
        <v>54.96738</v>
      </c>
      <c r="I437">
        <v>73.431164</v>
      </c>
    </row>
    <row r="438">
      <c r="A438">
        <v>437</v>
      </c>
      <c r="B438" t="inlineStr">
        <is>
          <t xml:space="preserve">Лизы Чайкиной, 3</t>
        </is>
      </c>
      <c r="C438" t="inlineStr">
        <is>
          <t xml:space="preserve">Билборд</t>
        </is>
      </c>
      <c r="D438" t="inlineStr">
        <is>
          <t xml:space="preserve">6×3</t>
        </is>
      </c>
      <c r="E438" t="inlineStr">
        <is>
          <t xml:space="preserve">A, B</t>
        </is>
      </c>
      <c r="F438" s="2" t="str">
        <f>HYPERLINK("https://yandex.ru/maps/?pt=73.435242,54.967887&amp;z=17","открыть")</f>
        <v>открыть</v>
      </c>
      <c r="G438" s="2" t="str">
        <f>HYPERLINK("https://mediafasadomsk.com/surfaces/bb-lizy-chajkinoj-ul-3-a-900.jpg","смотреть")</f>
        <v>смотреть</v>
      </c>
      <c r="H438">
        <v>54.967887</v>
      </c>
      <c r="I438">
        <v>73.435242</v>
      </c>
    </row>
    <row r="439">
      <c r="A439">
        <v>438</v>
      </c>
      <c r="B439" t="inlineStr">
        <is>
          <t xml:space="preserve">Лобкова, 24 (у пересечения с улицей Труда, светофор)</t>
        </is>
      </c>
      <c r="C439" t="inlineStr">
        <is>
          <t xml:space="preserve">Цифровой билборд</t>
        </is>
      </c>
      <c r="D439" t="inlineStr">
        <is>
          <t xml:space="preserve">6×3</t>
        </is>
      </c>
      <c r="E439" t="inlineStr">
        <is>
          <t xml:space="preserve">A1</t>
        </is>
      </c>
      <c r="F439" s="2" t="str">
        <f>HYPERLINK("https://yandex.ru/maps/?pt=73.38036775588982,54.934845808271085&amp;z=17","открыть")</f>
        <v>открыть</v>
      </c>
      <c r="G439" s="2" t="str">
        <f>HYPERLINK("https://mediafasadomsk.com/surfaces/bb-lobkova-ul-24-h-s-ul-truda-svetofor-a-900.jpg","смотреть")</f>
        <v>смотреть</v>
      </c>
      <c r="H439">
        <v>54.934845808271085</v>
      </c>
      <c r="I439">
        <v>73.38036775588982</v>
      </c>
    </row>
    <row r="440">
      <c r="A440">
        <v>439</v>
      </c>
      <c r="B440" t="inlineStr">
        <is>
          <t xml:space="preserve">Лобкова, 24 (у пересечения с улицей Труда, светофор)</t>
        </is>
      </c>
      <c r="C440" t="inlineStr">
        <is>
          <t xml:space="preserve">Билборд</t>
        </is>
      </c>
      <c r="D440" t="inlineStr">
        <is>
          <t xml:space="preserve">6×3</t>
        </is>
      </c>
      <c r="E440" t="inlineStr">
        <is>
          <t xml:space="preserve">B</t>
        </is>
      </c>
      <c r="F440" s="2" t="str">
        <f>HYPERLINK("https://yandex.ru/maps/?pt=73.38036775588982,54.934845808271085&amp;z=17","открыть")</f>
        <v>открыть</v>
      </c>
      <c r="G440" s="2" t="str">
        <f>HYPERLINK("https://mediafasadomsk.com/surfaces/bb-lobkova-ul-24-h-s-ul-truda-svetofor-b-a-900.jpg","смотреть")</f>
        <v>смотреть</v>
      </c>
      <c r="H440">
        <v>54.934845808271085</v>
      </c>
      <c r="I440">
        <v>73.38036775588982</v>
      </c>
    </row>
    <row r="441">
      <c r="A441">
        <v>440</v>
      </c>
      <c r="B441" t="inlineStr">
        <is>
          <t xml:space="preserve">Лукашевича, 10В (светофор)</t>
        </is>
      </c>
      <c r="C441" t="inlineStr">
        <is>
          <t xml:space="preserve">Билборд</t>
        </is>
      </c>
      <c r="D441" t="inlineStr">
        <is>
          <t xml:space="preserve">6×3</t>
        </is>
      </c>
      <c r="E441" t="inlineStr">
        <is>
          <t xml:space="preserve">A, B</t>
        </is>
      </c>
      <c r="F441" s="2" t="str">
        <f>HYPERLINK("https://yandex.ru/maps/?pt=73.27383579040621,54.99598591235865&amp;z=17","открыть")</f>
        <v>открыть</v>
      </c>
      <c r="G441" s="2" t="str">
        <f>HYPERLINK("https://mediafasadomsk.com/surfaces/bb-lukashevicha-ul-10v-svetofor-a-900.jpg","смотреть")</f>
        <v>смотреть</v>
      </c>
      <c r="H441">
        <v>54.99598591235865</v>
      </c>
      <c r="I441">
        <v>73.27383579040621</v>
      </c>
    </row>
    <row r="442">
      <c r="A442">
        <v>441</v>
      </c>
      <c r="B442" t="inlineStr">
        <is>
          <t xml:space="preserve">Лукашевича, 11/1 (у пересечения с улицей Ватутина, светофор)</t>
        </is>
      </c>
      <c r="C442" t="inlineStr">
        <is>
          <t xml:space="preserve">Билборд</t>
        </is>
      </c>
      <c r="D442" t="inlineStr">
        <is>
          <t xml:space="preserve">6×3</t>
        </is>
      </c>
      <c r="E442" t="inlineStr">
        <is>
          <t xml:space="preserve">A, B</t>
        </is>
      </c>
      <c r="F442" s="2" t="str">
        <f>HYPERLINK("https://yandex.ru/maps/?pt=73.2697910192125,54.99204688220938&amp;z=17","открыть")</f>
        <v>открыть</v>
      </c>
      <c r="G442" s="2" t="str">
        <f>HYPERLINK("https://mediafasadomsk.com/surfaces/bb-lukashevicha-ul-11-1-h-s-ul-vatutina-svetofor-a-900.jpg","смотреть")</f>
        <v>смотреть</v>
      </c>
      <c r="H442">
        <v>54.99204688220938</v>
      </c>
      <c r="I442">
        <v>73.2697910192125</v>
      </c>
    </row>
    <row r="443">
      <c r="A443">
        <v>442</v>
      </c>
      <c r="B443" t="inlineStr">
        <is>
          <t xml:space="preserve">Лукашевича, 11/2 (светофор)</t>
        </is>
      </c>
      <c r="C443" t="inlineStr">
        <is>
          <t xml:space="preserve">Билборд</t>
        </is>
      </c>
      <c r="D443" t="inlineStr">
        <is>
          <t xml:space="preserve">6×3</t>
        </is>
      </c>
      <c r="E443" t="inlineStr">
        <is>
          <t xml:space="preserve">A, B</t>
        </is>
      </c>
      <c r="F443" s="2" t="str">
        <f>HYPERLINK("https://yandex.ru/maps/?pt=73.27216745640007,54.994161076417086&amp;z=17","открыть")</f>
        <v>открыть</v>
      </c>
      <c r="G443" s="2" t="str">
        <f>HYPERLINK("https://mediafasadomsk.com/surfaces/bb-lukashevicha-ul-11-2-svetofor-a-900.jpg","смотреть")</f>
        <v>смотреть</v>
      </c>
      <c r="H443">
        <v>54.994161076417086</v>
      </c>
      <c r="I443">
        <v>73.27216745640007</v>
      </c>
    </row>
    <row r="444">
      <c r="A444">
        <v>443</v>
      </c>
      <c r="B444" t="inlineStr">
        <is>
          <t xml:space="preserve">Лукашевича, 14/4А</t>
        </is>
      </c>
      <c r="C444" t="inlineStr">
        <is>
          <t xml:space="preserve">Билборд</t>
        </is>
      </c>
      <c r="D444" t="inlineStr">
        <is>
          <t xml:space="preserve">6×3</t>
        </is>
      </c>
      <c r="E444" t="inlineStr">
        <is>
          <t xml:space="preserve">A, B</t>
        </is>
      </c>
      <c r="F444" s="2" t="str">
        <f>HYPERLINK("https://yandex.ru/maps/?pt=73.274105,54.995611&amp;z=17","открыть")</f>
        <v>открыть</v>
      </c>
      <c r="G444" s="2" t="str">
        <f>HYPERLINK("https://mediafasadomsk.com/surfaces/bb-lukashevicha-ul-14-4a-a-900.jpg","смотреть")</f>
        <v>смотреть</v>
      </c>
      <c r="H444">
        <v>54.995611</v>
      </c>
      <c r="I444">
        <v>73.274105</v>
      </c>
    </row>
    <row r="445">
      <c r="A445">
        <v>444</v>
      </c>
      <c r="B445" t="inlineStr">
        <is>
          <t xml:space="preserve">Лукашевича, 16/1 (светофор)</t>
        </is>
      </c>
      <c r="C445" t="inlineStr">
        <is>
          <t xml:space="preserve">Билборд</t>
        </is>
      </c>
      <c r="D445" t="inlineStr">
        <is>
          <t xml:space="preserve">6×3</t>
        </is>
      </c>
      <c r="E445" t="inlineStr">
        <is>
          <t xml:space="preserve">A, B</t>
        </is>
      </c>
      <c r="F445" s="2" t="str">
        <f>HYPERLINK("https://yandex.ru/maps/?pt=73.27652872825827,54.99835837217898&amp;z=17","открыть")</f>
        <v>открыть</v>
      </c>
      <c r="G445" s="2" t="str">
        <f>HYPERLINK("https://mediafasadomsk.com/surfaces/bb-lukashevicha-ul-16k1-svetofor-a-900.jpg","смотреть")</f>
        <v>смотреть</v>
      </c>
      <c r="H445">
        <v>54.99835837217898</v>
      </c>
      <c r="I445">
        <v>73.27652872825827</v>
      </c>
    </row>
    <row r="446">
      <c r="A446">
        <v>445</v>
      </c>
      <c r="B446" t="inlineStr">
        <is>
          <t xml:space="preserve">Лукашевича, 21/5 (у пересечения с проспектом Комарова, светофор, ТЦ «Маяк»)</t>
        </is>
      </c>
      <c r="C446" t="inlineStr">
        <is>
          <t xml:space="preserve">Цифровой билборд</t>
        </is>
      </c>
      <c r="D446" t="inlineStr">
        <is>
          <t xml:space="preserve">6×3</t>
        </is>
      </c>
      <c r="E446" t="inlineStr">
        <is>
          <t xml:space="preserve">A1</t>
        </is>
      </c>
      <c r="F446" s="2" t="str">
        <f>HYPERLINK("https://yandex.ru/maps/?pt=73.27760000000019,54.998899999999985&amp;z=17","открыть")</f>
        <v>открыть</v>
      </c>
      <c r="G446" s="2" t="str">
        <f>HYPERLINK("https://mediafasadomsk.com/surfaces/bb-lukashevicha-ul-21-5-h-s-prospektom-komarova-svetofor-tc-mayak-a-900.jpg","смотреть")</f>
        <v>смотреть</v>
      </c>
      <c r="H446">
        <v>54.998899999999985</v>
      </c>
      <c r="I446">
        <v>73.27760000000019</v>
      </c>
    </row>
    <row r="447">
      <c r="A447">
        <v>446</v>
      </c>
      <c r="B447" t="inlineStr">
        <is>
          <t xml:space="preserve">Лукашевича, 21/5 (у пересечения с проспектом Комарова, светофор, ТЦ «Маяк»)</t>
        </is>
      </c>
      <c r="C447" t="inlineStr">
        <is>
          <t xml:space="preserve">Билборд</t>
        </is>
      </c>
      <c r="D447" t="inlineStr">
        <is>
          <t xml:space="preserve">6×3</t>
        </is>
      </c>
      <c r="E447" t="inlineStr">
        <is>
          <t xml:space="preserve">B</t>
        </is>
      </c>
      <c r="F447" s="2" t="str">
        <f>HYPERLINK("https://yandex.ru/maps/?pt=73.27760000000019,54.998899999999985&amp;z=17","открыть")</f>
        <v>открыть</v>
      </c>
      <c r="G447" s="2" t="str">
        <f>HYPERLINK("https://mediafasadomsk.com/surfaces/bb-lukashevicha-ul-21-5-h-s-prospektom-komarova-svetofor-tc-mayak-b-a-900.jpg","смотреть")</f>
        <v>смотреть</v>
      </c>
      <c r="H447">
        <v>54.998899999999985</v>
      </c>
      <c r="I447">
        <v>73.27760000000019</v>
      </c>
    </row>
    <row r="448">
      <c r="A448">
        <v>447</v>
      </c>
      <c r="B448" t="inlineStr">
        <is>
          <t xml:space="preserve">Лукашевича, 21к3, до пересечения с проспектом Комарова (светофор, ТЦ «Маяк»)</t>
        </is>
      </c>
      <c r="C448" t="inlineStr">
        <is>
          <t xml:space="preserve">Билборд</t>
        </is>
      </c>
      <c r="D448" t="inlineStr">
        <is>
          <t xml:space="preserve">6×3</t>
        </is>
      </c>
      <c r="E448" t="inlineStr">
        <is>
          <t xml:space="preserve">A, B</t>
        </is>
      </c>
      <c r="F448" s="2" t="str">
        <f>HYPERLINK("https://yandex.ru/maps/?pt=73.27660383011074,54.99807835792559&amp;z=17","открыть")</f>
        <v>открыть</v>
      </c>
      <c r="G448" s="2" t="str">
        <f>HYPERLINK("https://mediafasadomsk.com/surfaces/bb-lukashevicha-ul-21k3-do-h-s-prospektom-komarova-svetofor-tc-mayak-a-900.jpg","смотреть")</f>
        <v>смотреть</v>
      </c>
      <c r="H448">
        <v>54.99807835792559</v>
      </c>
      <c r="I448">
        <v>73.27660383011074</v>
      </c>
    </row>
    <row r="449">
      <c r="A449">
        <v>448</v>
      </c>
      <c r="B449" t="inlineStr">
        <is>
          <t xml:space="preserve">Лукашевича, 27</t>
        </is>
      </c>
      <c r="C449" t="inlineStr">
        <is>
          <t xml:space="preserve">Билборд</t>
        </is>
      </c>
      <c r="D449" t="inlineStr">
        <is>
          <t xml:space="preserve">6×3</t>
        </is>
      </c>
      <c r="E449" t="inlineStr">
        <is>
          <t xml:space="preserve">A, B</t>
        </is>
      </c>
      <c r="F449" s="2" t="str">
        <f>HYPERLINK("https://yandex.ru/maps/?pt=73.28473092342783,55.00437966963559&amp;z=17","открыть")</f>
        <v>открыть</v>
      </c>
      <c r="G449" s="2" t="str">
        <f>HYPERLINK("https://mediafasadomsk.com/surfaces/bb-lukashevicha-ul-27-a-900.jpg","смотреть")</f>
        <v>смотреть</v>
      </c>
      <c r="H449">
        <v>55.00437966963559</v>
      </c>
      <c r="I449">
        <v>73.28473092342783</v>
      </c>
    </row>
    <row r="450">
      <c r="A450">
        <v>449</v>
      </c>
      <c r="B450" t="inlineStr">
        <is>
          <t xml:space="preserve">Лукашевича, напротив дома 27/6</t>
        </is>
      </c>
      <c r="C450" t="inlineStr">
        <is>
          <t xml:space="preserve">Билборд</t>
        </is>
      </c>
      <c r="D450" t="inlineStr">
        <is>
          <t xml:space="preserve">6×3</t>
        </is>
      </c>
      <c r="E450" t="inlineStr">
        <is>
          <t xml:space="preserve">A, B</t>
        </is>
      </c>
      <c r="F450" s="2" t="str">
        <f>HYPERLINK("https://yandex.ru/maps/?pt=73.283211,55.003879&amp;z=17","открыть")</f>
        <v>открыть</v>
      </c>
      <c r="G450" s="2" t="str">
        <f>HYPERLINK("https://mediafasadomsk.com/surfaces/bb-lukashevicha-ul-27-6-naprotiv-a-900.jpg","смотреть")</f>
        <v>смотреть</v>
      </c>
      <c r="H450">
        <v>55.003879</v>
      </c>
      <c r="I450">
        <v>73.283211</v>
      </c>
    </row>
    <row r="451">
      <c r="A451">
        <v>450</v>
      </c>
      <c r="B451" t="inlineStr">
        <is>
          <t xml:space="preserve">Лукашевича, напротив дома 29/1 (светофор)</t>
        </is>
      </c>
      <c r="C451" t="inlineStr">
        <is>
          <t xml:space="preserve">Цифровой билборд</t>
        </is>
      </c>
      <c r="D451" t="inlineStr">
        <is>
          <t xml:space="preserve">6×3</t>
        </is>
      </c>
      <c r="E451" t="inlineStr">
        <is>
          <t xml:space="preserve">A1, B1</t>
        </is>
      </c>
      <c r="F451" s="2" t="str">
        <f>HYPERLINK("https://yandex.ru/maps/?pt=73.28658164764866,55.006077908998&amp;z=17","открыть")</f>
        <v>открыть</v>
      </c>
      <c r="G451" s="2" t="str">
        <f>HYPERLINK("https://mediafasadomsk.com/surfaces/bb-lukashevicha-ul-29-1-naprotiv-svetofor-a-900.jpg","смотреть")</f>
        <v>смотреть</v>
      </c>
      <c r="H451">
        <v>55.006077908998</v>
      </c>
      <c r="I451">
        <v>73.28658164764866</v>
      </c>
    </row>
    <row r="452">
      <c r="A452">
        <v>451</v>
      </c>
      <c r="B452" t="inlineStr">
        <is>
          <t xml:space="preserve">Лукашевича, 29/1 (светофор)</t>
        </is>
      </c>
      <c r="C452" t="inlineStr">
        <is>
          <t xml:space="preserve">Билборд</t>
        </is>
      </c>
      <c r="D452" t="inlineStr">
        <is>
          <t xml:space="preserve">6×3</t>
        </is>
      </c>
      <c r="E452" t="inlineStr">
        <is>
          <t xml:space="preserve">A, B</t>
        </is>
      </c>
      <c r="F452" s="2" t="str">
        <f>HYPERLINK("https://yandex.ru/maps/?pt=73.28626514698475,55.00555490064342&amp;z=17","открыть")</f>
        <v>открыть</v>
      </c>
      <c r="G452" s="2" t="str">
        <f>HYPERLINK("https://mediafasadomsk.com/surfaces/bb-lukashevicha-ul-29-1-svetofor-a-900.jpg","смотреть")</f>
        <v>смотреть</v>
      </c>
      <c r="H452">
        <v>55.00555490064342</v>
      </c>
      <c r="I452">
        <v>73.28626514698475</v>
      </c>
    </row>
    <row r="453">
      <c r="A453">
        <v>452</v>
      </c>
      <c r="B453" t="inlineStr">
        <is>
          <t xml:space="preserve">Лукашевича, напротив дома 29 (светофор)</t>
        </is>
      </c>
      <c r="C453" t="inlineStr">
        <is>
          <t xml:space="preserve">Билборд</t>
        </is>
      </c>
      <c r="D453" t="inlineStr">
        <is>
          <t xml:space="preserve">6×3</t>
        </is>
      </c>
      <c r="E453" t="inlineStr">
        <is>
          <t xml:space="preserve">A, B</t>
        </is>
      </c>
      <c r="F453" s="2" t="str">
        <f>HYPERLINK("https://yandex.ru/maps/?pt=73.28706444527097,55.00641015345826&amp;z=17","открыть")</f>
        <v>открыть</v>
      </c>
      <c r="G453" s="2" t="str">
        <f>HYPERLINK("https://mediafasadomsk.com/surfaces/bb-lukashevicha-ul-29-naprotiv-svetofor-a-900.jpg","смотреть")</f>
        <v>смотреть</v>
      </c>
      <c r="H453">
        <v>55.00641015345826</v>
      </c>
      <c r="I453">
        <v>73.28706444527097</v>
      </c>
    </row>
    <row r="454">
      <c r="A454">
        <v>453</v>
      </c>
      <c r="B454" t="inlineStr">
        <is>
          <t xml:space="preserve">Лукашевича, напротив дома 33 («Гипер Лента», дублер)</t>
        </is>
      </c>
      <c r="C454" t="inlineStr">
        <is>
          <t xml:space="preserve">Билборд</t>
        </is>
      </c>
      <c r="D454" t="inlineStr">
        <is>
          <t xml:space="preserve">6×3</t>
        </is>
      </c>
      <c r="E454" t="inlineStr">
        <is>
          <t xml:space="preserve">A, B</t>
        </is>
      </c>
      <c r="F454" s="2" t="str">
        <f>HYPERLINK("https://yandex.ru/maps/?pt=73.29057277466326,55.007883727020136&amp;z=17","открыть")</f>
        <v>открыть</v>
      </c>
      <c r="G454" s="2" t="str">
        <f>HYPERLINK("https://mediafasadomsk.com/surfaces/bb-lukashevicha-ul-33-naprotiv-dubler-giper-lenta-a-900.jpg","смотреть")</f>
        <v>смотреть</v>
      </c>
      <c r="H454">
        <v>55.007883727020136</v>
      </c>
      <c r="I454">
        <v>73.29057277466326</v>
      </c>
    </row>
    <row r="455">
      <c r="A455">
        <v>454</v>
      </c>
      <c r="B455" t="inlineStr">
        <is>
          <t xml:space="preserve">Лукашевича, 35/1</t>
        </is>
      </c>
      <c r="C455" t="inlineStr">
        <is>
          <t xml:space="preserve">Билборд</t>
        </is>
      </c>
      <c r="D455" t="inlineStr">
        <is>
          <t xml:space="preserve">6×3</t>
        </is>
      </c>
      <c r="E455" t="inlineStr">
        <is>
          <t xml:space="preserve">A, B</t>
        </is>
      </c>
      <c r="F455" s="2" t="str">
        <f>HYPERLINK("https://yandex.ru/maps/?pt=73.289752,55.00684&amp;z=17","открыть")</f>
        <v>открыть</v>
      </c>
      <c r="G455" s="2" t="str">
        <f>HYPERLINK("https://mediafasadomsk.com/surfaces/bb-lukashevicha-ul-35-1-a-900.jpg","смотреть")</f>
        <v>смотреть</v>
      </c>
      <c r="H455">
        <v>55.00684</v>
      </c>
      <c r="I455">
        <v>73.289752</v>
      </c>
    </row>
    <row r="456">
      <c r="A456">
        <v>455</v>
      </c>
      <c r="B456" t="inlineStr">
        <is>
          <t xml:space="preserve">Лукашевича, 35 («Гипер Лента»)</t>
        </is>
      </c>
      <c r="C456" t="inlineStr">
        <is>
          <t xml:space="preserve">Билборд</t>
        </is>
      </c>
      <c r="D456" t="inlineStr">
        <is>
          <t xml:space="preserve">6×3</t>
        </is>
      </c>
      <c r="E456" t="inlineStr">
        <is>
          <t xml:space="preserve">A, B</t>
        </is>
      </c>
      <c r="F456" s="2" t="str">
        <f>HYPERLINK("https://yandex.ru/maps/?pt=73.2932371435167,55.01067852366674&amp;z=17","открыть")</f>
        <v>открыть</v>
      </c>
      <c r="G456" s="2" t="str">
        <f>HYPERLINK("https://mediafasadomsk.com/surfaces/bb-lukashevicha-ul-35-giper-lenta-a-900.jpg","смотреть")</f>
        <v>смотреть</v>
      </c>
      <c r="H456">
        <v>55.01067852366674</v>
      </c>
      <c r="I456">
        <v>73.2932371435167</v>
      </c>
    </row>
    <row r="457">
      <c r="A457">
        <v>456</v>
      </c>
      <c r="B457" t="inlineStr">
        <is>
          <t xml:space="preserve">Лукашевича, напротив дома 35 («Гипер Лента»)</t>
        </is>
      </c>
      <c r="C457" t="inlineStr">
        <is>
          <t xml:space="preserve">Билборд</t>
        </is>
      </c>
      <c r="D457" t="inlineStr">
        <is>
          <t xml:space="preserve">6×3</t>
        </is>
      </c>
      <c r="E457" t="inlineStr">
        <is>
          <t xml:space="preserve">A, B</t>
        </is>
      </c>
      <c r="F457" s="2" t="str">
        <f>HYPERLINK("https://yandex.ru/maps/?pt=73.29297965145125,55.01076157870008&amp;z=17","открыть")</f>
        <v>открыть</v>
      </c>
      <c r="G457" s="2" t="str">
        <f>HYPERLINK("https://mediafasadomsk.com/surfaces/bb-lukashevicha-ul-35-naprotiv-giper-lenta-a-900.jpg","смотреть")</f>
        <v>смотреть</v>
      </c>
      <c r="H457">
        <v>55.01076157870008</v>
      </c>
      <c r="I457">
        <v>73.29297965145125</v>
      </c>
    </row>
    <row r="458">
      <c r="A458">
        <v>457</v>
      </c>
      <c r="B458" t="inlineStr">
        <is>
          <t xml:space="preserve">Лукашевича, 6/2 (у пересечения с улицей Дианова, светофор)</t>
        </is>
      </c>
      <c r="C458" t="inlineStr">
        <is>
          <t xml:space="preserve">Билборд</t>
        </is>
      </c>
      <c r="D458" t="inlineStr">
        <is>
          <t xml:space="preserve">6×3</t>
        </is>
      </c>
      <c r="E458" t="inlineStr">
        <is>
          <t xml:space="preserve">A, B</t>
        </is>
      </c>
      <c r="F458" s="2" t="str">
        <f>HYPERLINK("https://yandex.ru/maps/?pt=73.26921166206493,54.99190223692437&amp;z=17","открыть")</f>
        <v>открыть</v>
      </c>
      <c r="G458" s="2" t="str">
        <f>HYPERLINK("https://mediafasadomsk.com/surfaces/bb-lukashevicha-ul-6-2-h-s-ul-dianova-svetofor-a-900.jpg","смотреть")</f>
        <v>смотреть</v>
      </c>
      <c r="H458">
        <v>54.99190223692437</v>
      </c>
      <c r="I458">
        <v>73.26921166206493</v>
      </c>
    </row>
    <row r="459">
      <c r="A459">
        <v>458</v>
      </c>
      <c r="B459" t="inlineStr">
        <is>
          <t xml:space="preserve">Лукашевича, 8 (светофор)</t>
        </is>
      </c>
      <c r="C459" t="inlineStr">
        <is>
          <t xml:space="preserve">Билборд</t>
        </is>
      </c>
      <c r="D459" t="inlineStr">
        <is>
          <t xml:space="preserve">6×3</t>
        </is>
      </c>
      <c r="E459" t="inlineStr">
        <is>
          <t xml:space="preserve">A, B</t>
        </is>
      </c>
      <c r="F459" s="2" t="str">
        <f>HYPERLINK("https://yandex.ru/maps/?pt=73.27166856552319,54.99406260009441&amp;z=17","открыть")</f>
        <v>открыть</v>
      </c>
      <c r="G459" s="2" t="str">
        <f>HYPERLINK("https://mediafasadomsk.com/surfaces/bb-lukashevicha-ul-8-svetofor-a-900.jpg","смотреть")</f>
        <v>смотреть</v>
      </c>
      <c r="H459">
        <v>54.99406260009441</v>
      </c>
      <c r="I459">
        <v>73.27166856552319</v>
      </c>
    </row>
    <row r="460">
      <c r="A460">
        <v>459</v>
      </c>
      <c r="B460" t="inlineStr">
        <is>
          <t xml:space="preserve">Лукашевича, чётная сторона, пересечение с улицей Степанца (светофор, ТЦ «Маяк»)</t>
        </is>
      </c>
      <c r="C460" t="inlineStr">
        <is>
          <t xml:space="preserve">Билборд</t>
        </is>
      </c>
      <c r="D460" t="inlineStr">
        <is>
          <t xml:space="preserve">6×3</t>
        </is>
      </c>
      <c r="E460" t="inlineStr">
        <is>
          <t xml:space="preserve">A, B</t>
        </is>
      </c>
      <c r="F460" s="2" t="str">
        <f>HYPERLINK("https://yandex.ru/maps/?pt=73.27968837047861,55.0010106805377&amp;z=17","открыть")</f>
        <v>открыть</v>
      </c>
      <c r="G460" s="2" t="str">
        <f>HYPERLINK("https://mediafasadomsk.com/surfaces/bb-lukashevicha-ul-chetnaya-storona-h-s-ul-stepanca-svetofor-tc-mayak-a-900.jpg","смотреть")</f>
        <v>смотреть</v>
      </c>
      <c r="H460">
        <v>55.0010106805377</v>
      </c>
      <c r="I460">
        <v>73.27968837047861</v>
      </c>
    </row>
    <row r="461">
      <c r="A461">
        <v>460</v>
      </c>
      <c r="B461" t="inlineStr">
        <is>
          <t xml:space="preserve">Пересечение Крупской и Лукашевича</t>
        </is>
      </c>
      <c r="C461" t="inlineStr">
        <is>
          <t xml:space="preserve">Билборд</t>
        </is>
      </c>
      <c r="D461" t="inlineStr">
        <is>
          <t xml:space="preserve">6×3</t>
        </is>
      </c>
      <c r="E461" t="inlineStr">
        <is>
          <t xml:space="preserve">A, B</t>
        </is>
      </c>
      <c r="F461" s="2" t="str">
        <f>HYPERLINK("https://yandex.ru/maps/?pt=73.288634,55.006799&amp;z=17","открыть")</f>
        <v>открыть</v>
      </c>
      <c r="G461" s="2" t="str">
        <f>HYPERLINK("https://mediafasadomsk.com/surfaces/bb-lukashevicha-ul-krupskoj-ul-a-900.jpg","смотреть")</f>
        <v>смотреть</v>
      </c>
      <c r="H461">
        <v>55.006799</v>
      </c>
      <c r="I461">
        <v>73.288634</v>
      </c>
    </row>
    <row r="462">
      <c r="A462">
        <v>461</v>
      </c>
      <c r="B462" t="inlineStr">
        <is>
          <t xml:space="preserve">Лукашевича, Съезд на дублер (после)</t>
        </is>
      </c>
      <c r="C462" t="inlineStr">
        <is>
          <t xml:space="preserve">Билборд</t>
        </is>
      </c>
      <c r="D462" t="inlineStr">
        <is>
          <t xml:space="preserve">6×3</t>
        </is>
      </c>
      <c r="E462" t="inlineStr">
        <is>
          <t xml:space="preserve">A, B</t>
        </is>
      </c>
      <c r="F462" s="2" t="str">
        <f>HYPERLINK("https://yandex.ru/maps/?pt=73.289666,55.00874&amp;z=17","открыть")</f>
        <v>открыть</v>
      </c>
      <c r="G462" s="2" t="str">
        <f>HYPERLINK("https://mediafasadomsk.com/surfaces/bb-lukashevicha-ul-sezd-na-dubler-posle-a-900.jpg","смотреть")</f>
        <v>смотреть</v>
      </c>
      <c r="H462">
        <v>55.00874</v>
      </c>
      <c r="I462">
        <v>73.289666</v>
      </c>
    </row>
    <row r="463">
      <c r="A463">
        <v>462</v>
      </c>
      <c r="B463" t="inlineStr">
        <is>
          <t xml:space="preserve">Магистральная, 2</t>
        </is>
      </c>
      <c r="C463" t="inlineStr">
        <is>
          <t xml:space="preserve">Билборд</t>
        </is>
      </c>
      <c r="D463" t="inlineStr">
        <is>
          <t xml:space="preserve">6×3</t>
        </is>
      </c>
      <c r="E463" t="inlineStr">
        <is>
          <t xml:space="preserve">A1, A2</t>
        </is>
      </c>
      <c r="F463" s="2" t="str">
        <f>HYPERLINK("https://yandex.ru/maps/?pt=73.287803,55.036717&amp;z=17","открыть")</f>
        <v>открыть</v>
      </c>
      <c r="G463" s="2" t="str">
        <f>HYPERLINK("https://mediafasadomsk.com/surfaces/bb-magistralnaya-ul-2-a-900.jpg","смотреть")</f>
        <v>смотреть</v>
      </c>
      <c r="H463">
        <v>55.036717</v>
      </c>
      <c r="I463">
        <v>73.287803</v>
      </c>
    </row>
    <row r="464">
      <c r="A464">
        <v>463</v>
      </c>
      <c r="B464" t="inlineStr">
        <is>
          <t xml:space="preserve">Магистральная, 52</t>
        </is>
      </c>
      <c r="C464" t="inlineStr">
        <is>
          <t xml:space="preserve">Билборд</t>
        </is>
      </c>
      <c r="D464" t="inlineStr">
        <is>
          <t xml:space="preserve">6×3</t>
        </is>
      </c>
      <c r="E464" t="inlineStr">
        <is>
          <t xml:space="preserve">A1, A2</t>
        </is>
      </c>
      <c r="F464" s="2" t="str">
        <f>HYPERLINK("https://yandex.ru/maps/?pt=73.272386,55.035892&amp;z=17","открыть")</f>
        <v>открыть</v>
      </c>
      <c r="G464" s="2" t="str">
        <f>HYPERLINK("https://mediafasadomsk.com/surfaces/bb-magistralnaya-ul-52-a-900.jpg","смотреть")</f>
        <v>смотреть</v>
      </c>
      <c r="H464">
        <v>55.035892</v>
      </c>
      <c r="I464">
        <v>73.272386</v>
      </c>
    </row>
    <row r="465">
      <c r="A465">
        <v>464</v>
      </c>
      <c r="B465" t="inlineStr">
        <is>
          <t xml:space="preserve">Пересечение 10 лет Октября и Маршала Жукова (дом 40)</t>
        </is>
      </c>
      <c r="C465" t="inlineStr">
        <is>
          <t xml:space="preserve">Цифровой билборд</t>
        </is>
      </c>
      <c r="D465" t="inlineStr">
        <is>
          <t xml:space="preserve">6×3</t>
        </is>
      </c>
      <c r="E465" t="inlineStr">
        <is>
          <t xml:space="preserve">A</t>
        </is>
      </c>
      <c r="F465" s="2" t="str">
        <f>HYPERLINK("https://yandex.ru/maps/?pt=73.387227,54.983574&amp;z=17","открыть")</f>
        <v>открыть</v>
      </c>
      <c r="G465" s="2" t="str">
        <f>HYPERLINK("https://mediafasadomsk.com/surfaces/bb-marshala-zhukova-ul-10-let-oktyabrya-ul-40-a-900.jpg","смотреть")</f>
        <v>смотреть</v>
      </c>
      <c r="H465">
        <v>54.983574</v>
      </c>
      <c r="I465">
        <v>73.387227</v>
      </c>
    </row>
    <row r="466">
      <c r="A466">
        <v>465</v>
      </c>
      <c r="B466" t="inlineStr">
        <is>
          <t xml:space="preserve">Пересечение 10 лет Октября и Маршала Жукова (дом 40)</t>
        </is>
      </c>
      <c r="C466" t="inlineStr">
        <is>
          <t xml:space="preserve">Билборд</t>
        </is>
      </c>
      <c r="D466" t="inlineStr">
        <is>
          <t xml:space="preserve">6×3</t>
        </is>
      </c>
      <c r="E466" t="inlineStr">
        <is>
          <t xml:space="preserve">B</t>
        </is>
      </c>
      <c r="F466" s="2" t="str">
        <f>HYPERLINK("https://yandex.ru/maps/?pt=73.387227,54.983574&amp;z=17","открыть")</f>
        <v>открыть</v>
      </c>
      <c r="G466" s="2" t="str">
        <f>HYPERLINK("https://mediafasadomsk.com/surfaces/bb-marshala-zhukova-ul-10-let-oktyabrya-ul-40-b-a-900.jpg","смотреть")</f>
        <v>смотреть</v>
      </c>
      <c r="H466">
        <v>54.983574</v>
      </c>
      <c r="I466">
        <v>73.387227</v>
      </c>
    </row>
    <row r="467">
      <c r="A467">
        <v>466</v>
      </c>
      <c r="B467" t="inlineStr">
        <is>
          <t xml:space="preserve">Маршала Жукова, 101 (у пересечения с улицей Масленникова, светофор)</t>
        </is>
      </c>
      <c r="C467" t="inlineStr">
        <is>
          <t xml:space="preserve">Билборд</t>
        </is>
      </c>
      <c r="D467" t="inlineStr">
        <is>
          <t xml:space="preserve">6×3</t>
        </is>
      </c>
      <c r="E467" t="inlineStr">
        <is>
          <t xml:space="preserve">A, B</t>
        </is>
      </c>
      <c r="F467" s="2" t="str">
        <f>HYPERLINK("https://yandex.ru/maps/?pt=73.38972504469899,54.97235421551086&amp;z=17","открыть")</f>
        <v>открыть</v>
      </c>
      <c r="G467" s="2" t="str">
        <f>HYPERLINK("https://mediafasadomsk.com/surfaces/bb-marshala-zhukova-ul-101-h-s-ul-maslennikova-svetofor-a-900.jpg","смотреть")</f>
        <v>смотреть</v>
      </c>
      <c r="H467">
        <v>54.97235421551086</v>
      </c>
      <c r="I467">
        <v>73.38972504469899</v>
      </c>
    </row>
    <row r="468">
      <c r="A468">
        <v>467</v>
      </c>
      <c r="B468" t="inlineStr">
        <is>
          <t xml:space="preserve">Маршала Жукова, 101 (у пересечения с улицей Маяковского, светофор)</t>
        </is>
      </c>
      <c r="C468" t="inlineStr">
        <is>
          <t xml:space="preserve">Билборд</t>
        </is>
      </c>
      <c r="D468" t="inlineStr">
        <is>
          <t xml:space="preserve">6×3</t>
        </is>
      </c>
      <c r="E468" t="inlineStr">
        <is>
          <t xml:space="preserve">A, B</t>
        </is>
      </c>
      <c r="F468" s="2" t="str">
        <f>HYPERLINK("https://yandex.ru/maps/?pt=73.38989670607673,54.97159368979058&amp;z=17","открыть")</f>
        <v>открыть</v>
      </c>
      <c r="G468" s="2" t="str">
        <f>HYPERLINK("https://mediafasadomsk.com/surfaces/bb-marshala-zhukova-ul-101-h-s-ul-mayakovskogo-svetofor-a-900.jpg","смотреть")</f>
        <v>смотреть</v>
      </c>
      <c r="H468">
        <v>54.97159368979058</v>
      </c>
      <c r="I468">
        <v>73.38989670607673</v>
      </c>
    </row>
    <row r="469">
      <c r="A469">
        <v>468</v>
      </c>
      <c r="B469" t="inlineStr">
        <is>
          <t xml:space="preserve">Маршала Жукова, 105</t>
        </is>
      </c>
      <c r="C469" t="inlineStr">
        <is>
          <t xml:space="preserve">Билборд</t>
        </is>
      </c>
      <c r="D469" t="inlineStr">
        <is>
          <t xml:space="preserve">6×3</t>
        </is>
      </c>
      <c r="E469" t="inlineStr">
        <is>
          <t xml:space="preserve">A, B</t>
        </is>
      </c>
      <c r="F469" s="2" t="str">
        <f>HYPERLINK("https://yandex.ru/maps/?pt=73.39036000461428,54.96922891418003&amp;z=17","открыть")</f>
        <v>открыть</v>
      </c>
      <c r="G469" s="2" t="str">
        <f>HYPERLINK("https://mediafasadomsk.com/surfaces/bb-marshala-zhukova-ul-105-a-900.jpg","смотреть")</f>
        <v>смотреть</v>
      </c>
      <c r="H469">
        <v>54.96922891418003</v>
      </c>
      <c r="I469">
        <v>73.39036000461428</v>
      </c>
    </row>
    <row r="470">
      <c r="A470">
        <v>469</v>
      </c>
      <c r="B470" t="inlineStr">
        <is>
          <t xml:space="preserve">Маршала Жукова, 105</t>
        </is>
      </c>
      <c r="C470" t="inlineStr">
        <is>
          <t xml:space="preserve">Билборд</t>
        </is>
      </c>
      <c r="D470" t="inlineStr">
        <is>
          <t xml:space="preserve">6×3</t>
        </is>
      </c>
      <c r="E470" t="inlineStr">
        <is>
          <t xml:space="preserve">A, B</t>
        </is>
      </c>
      <c r="F470" s="2" t="str">
        <f>HYPERLINK("https://yandex.ru/maps/?pt=73.390199,54.970254&amp;z=17","открыть")</f>
        <v>открыть</v>
      </c>
      <c r="G470" s="2" t="str">
        <f>HYPERLINK("https://mediafasadomsk.com/surfaces/bb-marshala-zhukova-ul-105-2-a-900.jpg","смотреть")</f>
        <v>смотреть</v>
      </c>
      <c r="H470">
        <v>54.970254</v>
      </c>
      <c r="I470">
        <v>73.390199</v>
      </c>
    </row>
    <row r="471">
      <c r="A471">
        <v>470</v>
      </c>
      <c r="B471" t="inlineStr">
        <is>
          <t xml:space="preserve">Маршала Жукова, напротив дома 105</t>
        </is>
      </c>
      <c r="C471" t="inlineStr">
        <is>
          <t xml:space="preserve">Билборд</t>
        </is>
      </c>
      <c r="D471" t="inlineStr">
        <is>
          <t xml:space="preserve">6×3</t>
        </is>
      </c>
      <c r="E471" t="inlineStr">
        <is>
          <t xml:space="preserve">A, B</t>
        </is>
      </c>
      <c r="F471" s="2" t="str">
        <f>HYPERLINK("https://yandex.ru/maps/?pt=73.38993889818455,54.96922734933735&amp;z=17","открыть")</f>
        <v>открыть</v>
      </c>
      <c r="G471" s="2" t="str">
        <f>HYPERLINK("https://mediafasadomsk.com/surfaces/bb-marshala-zhukova-ul-105-naprotiv-a-900.jpg","смотреть")</f>
        <v>смотреть</v>
      </c>
      <c r="H471">
        <v>54.96922734933735</v>
      </c>
      <c r="I471">
        <v>73.38993889818455</v>
      </c>
    </row>
    <row r="472">
      <c r="A472">
        <v>471</v>
      </c>
      <c r="B472" t="inlineStr">
        <is>
          <t xml:space="preserve">Маршала Жукова, 146А</t>
        </is>
      </c>
      <c r="C472" t="inlineStr">
        <is>
          <t xml:space="preserve">Билборд</t>
        </is>
      </c>
      <c r="D472" t="inlineStr">
        <is>
          <t xml:space="preserve">6×3</t>
        </is>
      </c>
      <c r="E472" t="inlineStr">
        <is>
          <t xml:space="preserve">A, B</t>
        </is>
      </c>
      <c r="F472" s="2" t="str">
        <f>HYPERLINK("https://yandex.ru/maps/?pt=73.39047069880553,54.967445948000815&amp;z=17","открыть")</f>
        <v>открыть</v>
      </c>
      <c r="G472" s="2" t="str">
        <f>HYPERLINK("https://mediafasadomsk.com/surfaces/bb-marshala-zhukova-ul-146a-a-900.jpg","смотреть")</f>
        <v>смотреть</v>
      </c>
      <c r="H472">
        <v>54.967445948000815</v>
      </c>
      <c r="I472">
        <v>73.39047069880553</v>
      </c>
    </row>
    <row r="473">
      <c r="A473">
        <v>472</v>
      </c>
      <c r="B473" t="inlineStr">
        <is>
          <t xml:space="preserve">Маршала Жукова, 148А</t>
        </is>
      </c>
      <c r="C473" t="inlineStr">
        <is>
          <t xml:space="preserve">Билборд</t>
        </is>
      </c>
      <c r="D473" t="inlineStr">
        <is>
          <t xml:space="preserve">6×3</t>
        </is>
      </c>
      <c r="E473" t="inlineStr">
        <is>
          <t xml:space="preserve">A, B</t>
        </is>
      </c>
      <c r="F473" s="2" t="str">
        <f>HYPERLINK("https://yandex.ru/maps/?pt=73.39118416640287,54.96623881034969&amp;z=17","открыть")</f>
        <v>открыть</v>
      </c>
      <c r="G473" s="2" t="str">
        <f>HYPERLINK("https://mediafasadomsk.com/surfaces/bb-marshala-zhukova-ul-148a-a-900.jpg","смотреть")</f>
        <v>смотреть</v>
      </c>
      <c r="H473">
        <v>54.96623881034969</v>
      </c>
      <c r="I473">
        <v>73.39118416640287</v>
      </c>
    </row>
    <row r="474">
      <c r="A474">
        <v>473</v>
      </c>
      <c r="B474" t="inlineStr">
        <is>
          <t xml:space="preserve">Маршала Жукова, 154/1</t>
        </is>
      </c>
      <c r="C474" t="inlineStr">
        <is>
          <t xml:space="preserve">Билборд</t>
        </is>
      </c>
      <c r="D474" t="inlineStr">
        <is>
          <t xml:space="preserve">6×3</t>
        </is>
      </c>
      <c r="E474" t="inlineStr">
        <is>
          <t xml:space="preserve">A, B</t>
        </is>
      </c>
      <c r="F474" s="2" t="str">
        <f>HYPERLINK("https://yandex.ru/maps/?pt=73.39289005133696,54.964757543217225&amp;z=17","открыть")</f>
        <v>открыть</v>
      </c>
      <c r="G474" s="2" t="str">
        <f>HYPERLINK("https://mediafasadomsk.com/surfaces/bb-marshala-zhukova-ul-154k1-a-900.jpg","смотреть")</f>
        <v>смотреть</v>
      </c>
      <c r="H474">
        <v>54.964757543217225</v>
      </c>
      <c r="I474">
        <v>73.39289005133696</v>
      </c>
    </row>
    <row r="475">
      <c r="A475">
        <v>474</v>
      </c>
      <c r="B475" t="inlineStr">
        <is>
          <t xml:space="preserve">Маршала Жукова, 156 (светофор)</t>
        </is>
      </c>
      <c r="C475" t="inlineStr">
        <is>
          <t xml:space="preserve">Билборд</t>
        </is>
      </c>
      <c r="D475" t="inlineStr">
        <is>
          <t xml:space="preserve">6×3</t>
        </is>
      </c>
      <c r="E475" t="inlineStr">
        <is>
          <t xml:space="preserve">A, B</t>
        </is>
      </c>
      <c r="F475" s="2" t="str">
        <f>HYPERLINK("https://yandex.ru/maps/?pt=73.3920639309609,54.9652995518379&amp;z=17","открыть")</f>
        <v>открыть</v>
      </c>
      <c r="G475" s="2" t="str">
        <f>HYPERLINK("https://mediafasadomsk.com/surfaces/bb-marshala-zhukova-ul-156-svetofor-a-900.jpg","смотреть")</f>
        <v>смотреть</v>
      </c>
      <c r="H475">
        <v>54.9652995518379</v>
      </c>
      <c r="I475">
        <v>73.3920639309609</v>
      </c>
    </row>
    <row r="476">
      <c r="A476">
        <v>475</v>
      </c>
      <c r="B476" t="inlineStr">
        <is>
          <t xml:space="preserve">Маршала Жукова, 21/1С</t>
        </is>
      </c>
      <c r="C476" t="inlineStr">
        <is>
          <t xml:space="preserve">Билборд</t>
        </is>
      </c>
      <c r="D476" t="inlineStr">
        <is>
          <t xml:space="preserve">6×3</t>
        </is>
      </c>
      <c r="E476" t="inlineStr">
        <is>
          <t xml:space="preserve">A, B</t>
        </is>
      </c>
      <c r="F476" s="2" t="str">
        <f>HYPERLINK("https://yandex.ru/maps/?pt=73.38669414851252,54.98575804502662&amp;z=17","открыть")</f>
        <v>открыть</v>
      </c>
      <c r="G476" s="2" t="str">
        <f>HYPERLINK("https://mediafasadomsk.com/surfaces/bb-marshala-zhukova-ul-21-1s-a-900.jpg","смотреть")</f>
        <v>смотреть</v>
      </c>
      <c r="H476">
        <v>54.98575804502662</v>
      </c>
      <c r="I476">
        <v>73.38669414851252</v>
      </c>
    </row>
    <row r="477">
      <c r="A477">
        <v>476</v>
      </c>
      <c r="B477" t="inlineStr">
        <is>
          <t xml:space="preserve">Маршала Жукова, 25 (у пересечения с улицей 10 лет Октября, светофор)</t>
        </is>
      </c>
      <c r="C477" t="inlineStr">
        <is>
          <t xml:space="preserve">Цифровой билборд</t>
        </is>
      </c>
      <c r="D477" t="inlineStr">
        <is>
          <t xml:space="preserve">6×3</t>
        </is>
      </c>
      <c r="E477" t="inlineStr">
        <is>
          <t xml:space="preserve">A1</t>
        </is>
      </c>
      <c r="F477" s="2" t="str">
        <f>HYPERLINK("https://yandex.ru/maps/?pt=73.38700000000009,54.984399999999994&amp;z=17","открыть")</f>
        <v>открыть</v>
      </c>
      <c r="G477" s="2" t="str">
        <f>HYPERLINK("https://mediafasadomsk.com/surfaces/bb-marshala-zhukova-ul-25-h-s-ul-10-let-oktyabrya-svetofor-a-900.jpg","смотреть")</f>
        <v>смотреть</v>
      </c>
      <c r="H477">
        <v>54.984399999999994</v>
      </c>
      <c r="I477">
        <v>73.38700000000009</v>
      </c>
    </row>
    <row r="478">
      <c r="A478">
        <v>477</v>
      </c>
      <c r="B478" t="inlineStr">
        <is>
          <t xml:space="preserve">Маршала Жукова, 25 (у пересечения с улицей 10 лет Октября, светофор)</t>
        </is>
      </c>
      <c r="C478" t="inlineStr">
        <is>
          <t xml:space="preserve">Билборд</t>
        </is>
      </c>
      <c r="D478" t="inlineStr">
        <is>
          <t xml:space="preserve">6×3</t>
        </is>
      </c>
      <c r="E478" t="inlineStr">
        <is>
          <t xml:space="preserve">B</t>
        </is>
      </c>
      <c r="F478" s="2" t="str">
        <f>HYPERLINK("https://yandex.ru/maps/?pt=73.38700000000009,54.984399999999994&amp;z=17","открыть")</f>
        <v>открыть</v>
      </c>
      <c r="G478" s="2" t="str">
        <f>HYPERLINK("https://mediafasadomsk.com/surfaces/bb-marshala-zhukova-ul-25-h-s-ul-10-let-oktyabrya-svetofor-b-a-900.jpg","смотреть")</f>
        <v>смотреть</v>
      </c>
      <c r="H478">
        <v>54.984399999999994</v>
      </c>
      <c r="I478">
        <v>73.38700000000009</v>
      </c>
    </row>
    <row r="479">
      <c r="A479">
        <v>478</v>
      </c>
      <c r="B479" t="inlineStr">
        <is>
          <t xml:space="preserve">Маршала Жукова, 4/1 (светофор)</t>
        </is>
      </c>
      <c r="C479" t="inlineStr">
        <is>
          <t xml:space="preserve">Цифровой билборд</t>
        </is>
      </c>
      <c r="D479" t="inlineStr">
        <is>
          <t xml:space="preserve">6×3</t>
        </is>
      </c>
      <c r="E479" t="inlineStr">
        <is>
          <t xml:space="preserve">A1, B1</t>
        </is>
      </c>
      <c r="F479" s="2" t="str">
        <f>HYPERLINK("https://yandex.ru/maps/?pt=73.38660831782423,54.98466534246914&amp;z=17","открыть")</f>
        <v>открыть</v>
      </c>
      <c r="G479" s="2" t="str">
        <f>HYPERLINK("https://mediafasadomsk.com/surfaces/bb-marshala-zhukova-ul-4-1-svetofor-a-900.jpg","смотреть")</f>
        <v>смотреть</v>
      </c>
      <c r="H479">
        <v>54.98466534246914</v>
      </c>
      <c r="I479">
        <v>73.38660831782423</v>
      </c>
    </row>
    <row r="480">
      <c r="A480">
        <v>479</v>
      </c>
      <c r="B480" t="inlineStr">
        <is>
          <t xml:space="preserve">Маршала Жукова, 4/2</t>
        </is>
      </c>
      <c r="C480" t="inlineStr">
        <is>
          <t xml:space="preserve">Билборд</t>
        </is>
      </c>
      <c r="D480" t="inlineStr">
        <is>
          <t xml:space="preserve">6×3</t>
        </is>
      </c>
      <c r="E480" t="inlineStr">
        <is>
          <t xml:space="preserve">A, B</t>
        </is>
      </c>
      <c r="F480" s="2" t="str">
        <f>HYPERLINK("https://yandex.ru/maps/?pt=73.38646347853748,54.98524709207481&amp;z=17","открыть")</f>
        <v>открыть</v>
      </c>
      <c r="G480" s="2" t="str">
        <f>HYPERLINK("https://mediafasadomsk.com/surfaces/bb-marshala-zhukova-ul-4-2-a-900.jpg","смотреть")</f>
        <v>смотреть</v>
      </c>
      <c r="H480">
        <v>54.98524709207481</v>
      </c>
      <c r="I480">
        <v>73.38646347853748</v>
      </c>
    </row>
    <row r="481">
      <c r="A481">
        <v>480</v>
      </c>
      <c r="B481" t="inlineStr">
        <is>
          <t xml:space="preserve">Маршала Жукова, 51/1 (у пересечения с улицей Лермонтова, светофор)</t>
        </is>
      </c>
      <c r="C481" t="inlineStr">
        <is>
          <t xml:space="preserve">Цифровой билборд</t>
        </is>
      </c>
      <c r="D481" t="inlineStr">
        <is>
          <t xml:space="preserve">6×3</t>
        </is>
      </c>
      <c r="E481" t="inlineStr">
        <is>
          <t xml:space="preserve">B1</t>
        </is>
      </c>
      <c r="F481" s="2" t="str">
        <f>HYPERLINK("https://yandex.ru/maps/?pt=73.38749881121636,54.98208890570888&amp;z=17","открыть")</f>
        <v>открыть</v>
      </c>
      <c r="G481" s="2" t="str">
        <f>HYPERLINK("https://mediafasadomsk.com/surfaces/bb-marshala-zhukova-ul-51-1-h-s-ul-lermontova-svetofor-a-900.jpg","смотреть")</f>
        <v>смотреть</v>
      </c>
      <c r="H481">
        <v>54.98208890570888</v>
      </c>
      <c r="I481">
        <v>73.38749881121636</v>
      </c>
    </row>
    <row r="482">
      <c r="A482">
        <v>481</v>
      </c>
      <c r="B482" t="inlineStr">
        <is>
          <t xml:space="preserve">Маршала Жукова, 6</t>
        </is>
      </c>
      <c r="C482" t="inlineStr">
        <is>
          <t xml:space="preserve">Цифровой билборд</t>
        </is>
      </c>
      <c r="D482" t="inlineStr">
        <is>
          <t xml:space="preserve">6×3</t>
        </is>
      </c>
      <c r="E482" t="inlineStr">
        <is>
          <t xml:space="preserve">A1, B1</t>
        </is>
      </c>
      <c r="F482" s="2" t="str">
        <f>HYPERLINK("https://yandex.ru/maps/?pt=73.38772411677378,54.97933682975661&amp;z=17","открыть")</f>
        <v>открыть</v>
      </c>
      <c r="G482" s="2" t="str">
        <f>HYPERLINK("https://mediafasadomsk.com/surfaces/bb-marshala-zhukova-ul-6-a-900.jpg","смотреть")</f>
        <v>смотреть</v>
      </c>
      <c r="H482">
        <v>54.97933682975661</v>
      </c>
      <c r="I482">
        <v>73.38772411677378</v>
      </c>
    </row>
    <row r="483">
      <c r="A483">
        <v>482</v>
      </c>
      <c r="B483" t="inlineStr">
        <is>
          <t xml:space="preserve">Маршала Жукова, 6/1 (у пересечения с улицей Лермонтова, светофор)</t>
        </is>
      </c>
      <c r="C483" t="inlineStr">
        <is>
          <t xml:space="preserve">Билборд</t>
        </is>
      </c>
      <c r="D483" t="inlineStr">
        <is>
          <t xml:space="preserve">6×3</t>
        </is>
      </c>
      <c r="E483" t="inlineStr">
        <is>
          <t xml:space="preserve">A, B</t>
        </is>
      </c>
      <c r="F483" s="2" t="str">
        <f>HYPERLINK("https://yandex.ru/maps/?pt=73.38713403079039,54.98200579139624&amp;z=17","открыть")</f>
        <v>открыть</v>
      </c>
      <c r="G483" s="2" t="str">
        <f>HYPERLINK("https://mediafasadomsk.com/surfaces/bb-marshala-zhukova-ul-6k1-h-s-ul-lermontova-svetofor-a-900.jpg","смотреть")</f>
        <v>смотреть</v>
      </c>
      <c r="H483">
        <v>54.98200579139624</v>
      </c>
      <c r="I483">
        <v>73.38713403079039</v>
      </c>
    </row>
    <row r="484">
      <c r="A484">
        <v>483</v>
      </c>
      <c r="B484" t="inlineStr">
        <is>
          <t xml:space="preserve">Маршала Жукова, 7 (у пересечения с улицей Омская, ТЦ «Триумф»)</t>
        </is>
      </c>
      <c r="C484" t="inlineStr">
        <is>
          <t xml:space="preserve">Билборд</t>
        </is>
      </c>
      <c r="D484" t="inlineStr">
        <is>
          <t xml:space="preserve">6×3</t>
        </is>
      </c>
      <c r="E484" t="inlineStr">
        <is>
          <t xml:space="preserve">A, B</t>
        </is>
      </c>
      <c r="F484" s="2" t="str">
        <f>HYPERLINK("https://yandex.ru/maps/?pt=73.38651175829897,54.986807629870285&amp;z=17","открыть")</f>
        <v>открыть</v>
      </c>
      <c r="G484" s="2" t="str">
        <f>HYPERLINK("https://mediafasadomsk.com/surfaces/bb-marshala-zhukova-ul-7-h-s-ul-omskaya-tc-triumf-a-900.jpg","смотреть")</f>
        <v>смотреть</v>
      </c>
      <c r="H484">
        <v>54.986807629870285</v>
      </c>
      <c r="I484">
        <v>73.38651175829897</v>
      </c>
    </row>
    <row r="485">
      <c r="A485">
        <v>484</v>
      </c>
      <c r="B485" t="inlineStr">
        <is>
          <t xml:space="preserve">Маршала Жукова, напротив дома 70А/10 (улица Красных Зорь)</t>
        </is>
      </c>
      <c r="C485" t="inlineStr">
        <is>
          <t xml:space="preserve">Билборд</t>
        </is>
      </c>
      <c r="D485" t="inlineStr">
        <is>
          <t xml:space="preserve">6×3</t>
        </is>
      </c>
      <c r="E485" t="inlineStr">
        <is>
          <t xml:space="preserve">A, B</t>
        </is>
      </c>
      <c r="F485" s="2" t="str">
        <f>HYPERLINK("https://yandex.ru/maps/?pt=73.388557,54.977912&amp;z=17","открыть")</f>
        <v>открыть</v>
      </c>
      <c r="G485" s="2" t="str">
        <f>HYPERLINK("https://mediafasadomsk.com/surfaces/bb-marshala-zhukova-ul-70a-10-naprotiv-krasnyh-zor-ul-a-900.jpg","смотреть")</f>
        <v>смотреть</v>
      </c>
      <c r="H485">
        <v>54.977912</v>
      </c>
      <c r="I485">
        <v>73.388557</v>
      </c>
    </row>
    <row r="486">
      <c r="A486">
        <v>485</v>
      </c>
      <c r="B486" t="inlineStr">
        <is>
          <t xml:space="preserve">Маршала Жукова, 70А/4 (у пересечения с улицей Красных Зорь, светофор)</t>
        </is>
      </c>
      <c r="C486" t="inlineStr">
        <is>
          <t xml:space="preserve">Призматрон</t>
        </is>
      </c>
      <c r="D486" t="inlineStr">
        <is>
          <t xml:space="preserve">6×3</t>
        </is>
      </c>
      <c r="E486" t="inlineStr">
        <is>
          <t xml:space="preserve">A1</t>
        </is>
      </c>
      <c r="F486" s="2" t="str">
        <f>HYPERLINK("https://yandex.ru/maps/?pt=73.38800000000009,54.97819999999997&amp;z=17","открыть")</f>
        <v>открыть</v>
      </c>
      <c r="G486" s="2" t="str">
        <f>HYPERLINK("https://mediafasadomsk.com/surfaces/bb-marshala-zhukova-ul-70a-4-h-s-ul-krasnyh-zor-svetofor-a-900.jpg","смотреть")</f>
        <v>смотреть</v>
      </c>
      <c r="H486">
        <v>54.97819999999997</v>
      </c>
      <c r="I486">
        <v>73.38800000000009</v>
      </c>
    </row>
    <row r="487">
      <c r="A487">
        <v>486</v>
      </c>
      <c r="B487" t="inlineStr">
        <is>
          <t xml:space="preserve">Маршала Жукова, 70А/4 (у пересечения с улицей Красных Зорь, светофор)</t>
        </is>
      </c>
      <c r="C487" t="inlineStr">
        <is>
          <t xml:space="preserve">Билборд</t>
        </is>
      </c>
      <c r="D487" t="inlineStr">
        <is>
          <t xml:space="preserve">6×3</t>
        </is>
      </c>
      <c r="E487" t="inlineStr">
        <is>
          <t xml:space="preserve">B</t>
        </is>
      </c>
      <c r="F487" s="2" t="str">
        <f>HYPERLINK("https://yandex.ru/maps/?pt=73.38800000000009,54.97819999999997&amp;z=17","открыть")</f>
        <v>открыть</v>
      </c>
      <c r="G487" s="2" t="str">
        <f>HYPERLINK("https://mediafasadomsk.com/surfaces/bb-marshala-zhukova-ul-70a-4-h-s-ul-krasnyh-zor-svetofor-b-a-900.jpg","смотреть")</f>
        <v>смотреть</v>
      </c>
      <c r="H487">
        <v>54.97819999999997</v>
      </c>
      <c r="I487">
        <v>73.38800000000009</v>
      </c>
    </row>
    <row r="488">
      <c r="A488">
        <v>487</v>
      </c>
      <c r="B488" t="inlineStr">
        <is>
          <t xml:space="preserve">Маршала Жукова, 72/1 (светофор)</t>
        </is>
      </c>
      <c r="C488" t="inlineStr">
        <is>
          <t xml:space="preserve">Цифровой билборд</t>
        </is>
      </c>
      <c r="D488" t="inlineStr">
        <is>
          <t xml:space="preserve">6×3</t>
        </is>
      </c>
      <c r="E488" t="inlineStr">
        <is>
          <t xml:space="preserve">A1, B1</t>
        </is>
      </c>
      <c r="F488" s="2" t="str">
        <f>HYPERLINK("https://yandex.ru/maps/?pt=73.38839466902785,54.976135077693435&amp;z=17","открыть")</f>
        <v>открыть</v>
      </c>
      <c r="G488" s="2" t="str">
        <f>HYPERLINK("https://mediafasadomsk.com/surfaces/bb-marshala-zhukova-ul-72-1-svetofor-a-900.jpg","смотреть")</f>
        <v>смотреть</v>
      </c>
      <c r="H488">
        <v>54.976135077693435</v>
      </c>
      <c r="I488">
        <v>73.38839466902785</v>
      </c>
    </row>
    <row r="489">
      <c r="A489">
        <v>488</v>
      </c>
      <c r="B489" t="inlineStr">
        <is>
          <t xml:space="preserve">Маршала Жукова, напротив дома 74/2</t>
        </is>
      </c>
      <c r="C489" t="inlineStr">
        <is>
          <t xml:space="preserve">Билборд</t>
        </is>
      </c>
      <c r="D489" t="inlineStr">
        <is>
          <t xml:space="preserve">6×3</t>
        </is>
      </c>
      <c r="E489" t="inlineStr">
        <is>
          <t xml:space="preserve">A, B</t>
        </is>
      </c>
      <c r="F489" s="2" t="str">
        <f>HYPERLINK("https://yandex.ru/maps/?pt=73.38907595011771,54.97477733200895&amp;z=17","открыть")</f>
        <v>открыть</v>
      </c>
      <c r="G489" s="2" t="str">
        <f>HYPERLINK("https://mediafasadomsk.com/surfaces/bb-marshala-zhukova-ul-74k2-naprotiv-a-900.jpg","смотреть")</f>
        <v>смотреть</v>
      </c>
      <c r="H489">
        <v>54.97477733200895</v>
      </c>
      <c r="I489">
        <v>73.38907595011771</v>
      </c>
    </row>
    <row r="490">
      <c r="A490">
        <v>489</v>
      </c>
      <c r="B490" t="inlineStr">
        <is>
          <t xml:space="preserve">Маршала Жукова, 75 (у пересечения с улицей Красных Зорь, светофор)</t>
        </is>
      </c>
      <c r="C490" t="inlineStr">
        <is>
          <t xml:space="preserve">Билборд</t>
        </is>
      </c>
      <c r="D490" t="inlineStr">
        <is>
          <t xml:space="preserve">6×3</t>
        </is>
      </c>
      <c r="E490" t="inlineStr">
        <is>
          <t xml:space="preserve">A, B</t>
        </is>
      </c>
      <c r="F490" s="2" t="str">
        <f>HYPERLINK("https://yandex.ru/maps/?pt=73.3884053978648,54.97851179122325&amp;z=17","открыть")</f>
        <v>открыть</v>
      </c>
      <c r="G490" s="2" t="str">
        <f>HYPERLINK("https://mediafasadomsk.com/surfaces/bb-marshala-zhukova-ul-75-h-s-ul-krasnyh-zor-svetofor-a-900.jpg","смотреть")</f>
        <v>смотреть</v>
      </c>
      <c r="H490">
        <v>54.97851179122325</v>
      </c>
      <c r="I490">
        <v>73.3884053978648</v>
      </c>
    </row>
    <row r="491">
      <c r="A491">
        <v>490</v>
      </c>
      <c r="B491" t="inlineStr">
        <is>
          <t xml:space="preserve">Маршала Жукова, 76 (у пересечения с улицей Масленникова, светофор)</t>
        </is>
      </c>
      <c r="C491" t="inlineStr">
        <is>
          <t xml:space="preserve">Билборд</t>
        </is>
      </c>
      <c r="D491" t="inlineStr">
        <is>
          <t xml:space="preserve">6×3</t>
        </is>
      </c>
      <c r="E491" t="inlineStr">
        <is>
          <t xml:space="preserve">A, B</t>
        </is>
      </c>
      <c r="F491" s="2" t="str">
        <f>HYPERLINK("https://yandex.ru/maps/?pt=73.38917787406002,54.972668277755204&amp;z=17","открыть")</f>
        <v>открыть</v>
      </c>
      <c r="G491" s="2" t="str">
        <f>HYPERLINK("https://mediafasadomsk.com/surfaces/bb-marshala-zhukova-ul-76-h-s-ul-maslennikova-svetofor-a-900.jpg","смотреть")</f>
        <v>смотреть</v>
      </c>
      <c r="H491">
        <v>54.972668277755204</v>
      </c>
      <c r="I491">
        <v>73.38917787406002</v>
      </c>
    </row>
    <row r="492">
      <c r="A492">
        <v>491</v>
      </c>
      <c r="B492" t="inlineStr">
        <is>
          <t xml:space="preserve">Маршала Жукова, 78 (у пересечения с улицей Маяковского, светофор)</t>
        </is>
      </c>
      <c r="C492" t="inlineStr">
        <is>
          <t xml:space="preserve">Билборд</t>
        </is>
      </c>
      <c r="D492" t="inlineStr">
        <is>
          <t xml:space="preserve">6×3</t>
        </is>
      </c>
      <c r="E492" t="inlineStr">
        <is>
          <t xml:space="preserve">A, B</t>
        </is>
      </c>
      <c r="F492" s="2" t="str">
        <f>HYPERLINK("https://yandex.ru/maps/?pt=73.3894000000002,54.97120000000001&amp;z=17","открыть")</f>
        <v>открыть</v>
      </c>
      <c r="G492" s="2" t="str">
        <f>HYPERLINK("https://mediafasadomsk.com/surfaces/bb-marshala-zhukova-ul-78-h-s-ul-mayakovskogo-svetofor-a-900.jpg","смотреть")</f>
        <v>смотреть</v>
      </c>
      <c r="H492">
        <v>54.97120000000001</v>
      </c>
      <c r="I492">
        <v>73.3894000000002</v>
      </c>
    </row>
    <row r="493">
      <c r="A493">
        <v>492</v>
      </c>
      <c r="B493" t="inlineStr">
        <is>
          <t xml:space="preserve">Маршала Жукова, чётная сторона, до пересечения с улицей Лермонтова (светофор)</t>
        </is>
      </c>
      <c r="C493" t="inlineStr">
        <is>
          <t xml:space="preserve">Билборд</t>
        </is>
      </c>
      <c r="D493" t="inlineStr">
        <is>
          <t xml:space="preserve">6×3</t>
        </is>
      </c>
      <c r="E493" t="inlineStr">
        <is>
          <t xml:space="preserve">A, B</t>
        </is>
      </c>
      <c r="F493" s="2" t="str">
        <f>HYPERLINK("https://yandex.ru/maps/?pt=73.38704820010267,54.98245829627319&amp;z=17","открыть")</f>
        <v>открыть</v>
      </c>
      <c r="G493" s="2" t="str">
        <f>HYPERLINK("https://mediafasadomsk.com/surfaces/bb-marshala-zhukova-ul-chetnaya-storona-do-h-s-ul-lermontova-svetofor-a-900.jpg","смотреть")</f>
        <v>смотреть</v>
      </c>
      <c r="H493">
        <v>54.98245829627319</v>
      </c>
      <c r="I493">
        <v>73.38704820010267</v>
      </c>
    </row>
    <row r="494">
      <c r="A494">
        <v>493</v>
      </c>
      <c r="B494" t="inlineStr">
        <is>
          <t xml:space="preserve">Маршала Жукова, чётная сторона, пересечение с улицей Думская (светофор)</t>
        </is>
      </c>
      <c r="C494" t="inlineStr">
        <is>
          <t xml:space="preserve">Цифровой билборд</t>
        </is>
      </c>
      <c r="D494" t="inlineStr">
        <is>
          <t xml:space="preserve">6×3</t>
        </is>
      </c>
      <c r="E494" t="inlineStr">
        <is>
          <t xml:space="preserve">A1</t>
        </is>
      </c>
      <c r="F494" s="2" t="str">
        <f>HYPERLINK("https://yandex.ru/maps/?pt=73.3866887840949,54.98416976526432&amp;z=17","открыть")</f>
        <v>открыть</v>
      </c>
      <c r="G494" s="2" t="str">
        <f>HYPERLINK("https://mediafasadomsk.com/surfaces/bb-marshala-zhukova-ul-chetnaya-storona-h-s-ul-dumskaya-svetofor-a-900.jpg","смотреть")</f>
        <v>смотреть</v>
      </c>
      <c r="H494">
        <v>54.98416976526432</v>
      </c>
      <c r="I494">
        <v>73.3866887840949</v>
      </c>
    </row>
    <row r="495">
      <c r="A495">
        <v>494</v>
      </c>
      <c r="B495" t="inlineStr">
        <is>
          <t xml:space="preserve">Маршала Жукова, чётная сторона, пересечение с улицей Лермонтова (светофор)</t>
        </is>
      </c>
      <c r="C495" t="inlineStr">
        <is>
          <t xml:space="preserve">Цифровой билборд</t>
        </is>
      </c>
      <c r="D495" t="inlineStr">
        <is>
          <t xml:space="preserve">6×3</t>
        </is>
      </c>
      <c r="E495" t="inlineStr">
        <is>
          <t xml:space="preserve">B1</t>
        </is>
      </c>
      <c r="F495" s="2" t="str">
        <f>HYPERLINK("https://yandex.ru/maps/?pt=73.38711257311874,54.98215662577944&amp;z=17","открыть")</f>
        <v>открыть</v>
      </c>
      <c r="G495" s="2" t="str">
        <f>HYPERLINK("https://mediafasadomsk.com/surfaces/bb-marshala-zhukova-ul-chetnaya-storona-h-s-ul-lermontova-svetofor-a-900.jpg","смотреть")</f>
        <v>смотреть</v>
      </c>
      <c r="H495">
        <v>54.98215662577944</v>
      </c>
      <c r="I495">
        <v>73.38711257311874</v>
      </c>
    </row>
    <row r="496">
      <c r="A496">
        <v>495</v>
      </c>
      <c r="B496" t="inlineStr">
        <is>
          <t xml:space="preserve">Маршала Жукова, чётная сторона, пересечение с улицей Маяковского (светофор)</t>
        </is>
      </c>
      <c r="C496" t="inlineStr">
        <is>
          <t xml:space="preserve">Цифровой билборд</t>
        </is>
      </c>
      <c r="D496" t="inlineStr">
        <is>
          <t xml:space="preserve">6×3</t>
        </is>
      </c>
      <c r="E496" t="inlineStr">
        <is>
          <t xml:space="preserve">A1, B1</t>
        </is>
      </c>
      <c r="F496" s="2" t="str">
        <f>HYPERLINK("https://yandex.ru/maps/?pt=73.38951583239674,54.970860861112875&amp;z=17","открыть")</f>
        <v>открыть</v>
      </c>
      <c r="G496" s="2" t="str">
        <f>HYPERLINK("https://mediafasadomsk.com/surfaces/bb-marshala-zhukova-ul-chetnaya-storona-h-s-ul-mayakovskogo-svetofor-a-900.jpg","смотреть")</f>
        <v>смотреть</v>
      </c>
      <c r="H496">
        <v>54.970860861112875</v>
      </c>
      <c r="I496">
        <v>73.38951583239674</v>
      </c>
    </row>
    <row r="497">
      <c r="A497">
        <v>496</v>
      </c>
      <c r="B497" t="inlineStr">
        <is>
          <t xml:space="preserve">Маршала Жукова, чётная сторона, съезд с Фрунзенского моста (ТЦ «Триумф»)</t>
        </is>
      </c>
      <c r="C497" t="inlineStr">
        <is>
          <t xml:space="preserve">Цифровой билборд</t>
        </is>
      </c>
      <c r="D497" t="inlineStr">
        <is>
          <t xml:space="preserve">6×3</t>
        </is>
      </c>
      <c r="E497" t="inlineStr">
        <is>
          <t xml:space="preserve">A1, B1</t>
        </is>
      </c>
      <c r="F497" s="2" t="str">
        <f>HYPERLINK("https://yandex.ru/maps/?pt=73.38588605522561,54.987579539030556&amp;z=17","открыть")</f>
        <v>открыть</v>
      </c>
      <c r="G497" s="2" t="str">
        <f>HYPERLINK("https://mediafasadomsk.com/surfaces/bb-marshala-zhukova-ul-chetnaya-storona-sezd-s-frunzenskogo-mosta-tc-triumf-a-900.jpg","смотреть")</f>
        <v>смотреть</v>
      </c>
      <c r="H497">
        <v>54.987579539030556</v>
      </c>
      <c r="I497">
        <v>73.38588605522561</v>
      </c>
    </row>
    <row r="498">
      <c r="A498">
        <v>497</v>
      </c>
      <c r="B498" t="inlineStr">
        <is>
          <t xml:space="preserve">Маршала Жукова, 89</t>
        </is>
      </c>
      <c r="C498" t="inlineStr">
        <is>
          <t xml:space="preserve">Билборд</t>
        </is>
      </c>
      <c r="D498" t="inlineStr">
        <is>
          <t xml:space="preserve">6×3</t>
        </is>
      </c>
      <c r="E498" t="inlineStr">
        <is>
          <t xml:space="preserve">A, B</t>
        </is>
      </c>
      <c r="F498" s="2" t="str">
        <f>HYPERLINK("https://yandex.ru/maps/?pt=73.388739,54.97709&amp;z=17","открыть")</f>
        <v>открыть</v>
      </c>
      <c r="G498" s="2" t="str">
        <f>HYPERLINK("https://mediafasadomsk.com/surfaces/bb-marshala-zhukova-ul-d-89-a-900.jpg","смотреть")</f>
        <v>смотреть</v>
      </c>
      <c r="H498">
        <v>54.97709</v>
      </c>
      <c r="I498">
        <v>73.388739</v>
      </c>
    </row>
    <row r="499">
      <c r="A499">
        <v>498</v>
      </c>
      <c r="B499" t="inlineStr">
        <is>
          <t xml:space="preserve">Пересечение Маршала Жукова и улицы Красных Зорь (дом 23)</t>
        </is>
      </c>
      <c r="C499" t="inlineStr">
        <is>
          <t xml:space="preserve">Цифровой билборд</t>
        </is>
      </c>
      <c r="D499" t="inlineStr">
        <is>
          <t xml:space="preserve">6×3</t>
        </is>
      </c>
      <c r="E499" t="inlineStr">
        <is>
          <t xml:space="preserve">A, B</t>
        </is>
      </c>
      <c r="F499" s="2" t="str">
        <f>HYPERLINK("https://yandex.ru/maps/?pt=73.387815,54.978452&amp;z=17","открыть")</f>
        <v>открыть</v>
      </c>
      <c r="G499" s="2" t="str">
        <f>HYPERLINK("https://mediafasadomsk.com/surfaces/bb-marshala-zhukova-ul-krasnyh-zor-ul-23-a-900.jpg","смотреть")</f>
        <v>смотреть</v>
      </c>
      <c r="H499">
        <v>54.978452</v>
      </c>
      <c r="I499">
        <v>73.387815</v>
      </c>
    </row>
    <row r="500">
      <c r="A500">
        <v>499</v>
      </c>
      <c r="B500" t="inlineStr">
        <is>
          <t xml:space="preserve">Пересечение Маршала Жукова и Масленникова (рядом Степана Разина 36)</t>
        </is>
      </c>
      <c r="C500" t="inlineStr">
        <is>
          <t xml:space="preserve">Призматрон</t>
        </is>
      </c>
      <c r="D500" t="inlineStr">
        <is>
          <t xml:space="preserve">6×3</t>
        </is>
      </c>
      <c r="E500" t="inlineStr">
        <is>
          <t xml:space="preserve">A</t>
        </is>
      </c>
      <c r="F500" s="2" t="str">
        <f>HYPERLINK("https://yandex.ru/maps/?pt=73.388903,54.973479&amp;z=17","открыть")</f>
        <v>открыть</v>
      </c>
      <c r="G500" s="2" t="str">
        <f>HYPERLINK("https://mediafasadomsk.com/surfaces/bb-marshala-zhukova-ul-maslennikova-ul-ryadom-stepana-razina-36-a-900.jpg","смотреть")</f>
        <v>смотреть</v>
      </c>
      <c r="H500">
        <v>54.973479</v>
      </c>
      <c r="I500">
        <v>73.388903</v>
      </c>
    </row>
    <row r="501">
      <c r="A501">
        <v>500</v>
      </c>
      <c r="B501" t="inlineStr">
        <is>
          <t xml:space="preserve">Маршала Жукова, нечётная сторона, после пересечения с улицей Лермонтова (светофор)</t>
        </is>
      </c>
      <c r="C501" t="inlineStr">
        <is>
          <t xml:space="preserve">Призматрон</t>
        </is>
      </c>
      <c r="D501" t="inlineStr">
        <is>
          <t xml:space="preserve">6×3</t>
        </is>
      </c>
      <c r="E501" t="inlineStr">
        <is>
          <t xml:space="preserve">A1</t>
        </is>
      </c>
      <c r="F501" s="2" t="str">
        <f>HYPERLINK("https://yandex.ru/maps/?pt=73.38741298052805,54.98244906773027&amp;z=17","открыть")</f>
        <v>открыть</v>
      </c>
      <c r="G501" s="2" t="str">
        <f>HYPERLINK("https://mediafasadomsk.com/surfaces/bb-marshala-zhukova-ul-nechetnaya-storona-posle-h-s-ul-lermontova-svetofor-a-900.jpg","смотреть")</f>
        <v>смотреть</v>
      </c>
      <c r="H501">
        <v>54.98244906773027</v>
      </c>
      <c r="I501">
        <v>73.38741298052805</v>
      </c>
    </row>
    <row r="502">
      <c r="A502">
        <v>501</v>
      </c>
      <c r="B502" t="inlineStr">
        <is>
          <t xml:space="preserve">Маршала Жукова, нечётная сторона, после пересечения с улицей Лермонтова (светофор)</t>
        </is>
      </c>
      <c r="C502" t="inlineStr">
        <is>
          <t xml:space="preserve">Билборд</t>
        </is>
      </c>
      <c r="D502" t="inlineStr">
        <is>
          <t xml:space="preserve">6×3</t>
        </is>
      </c>
      <c r="E502" t="inlineStr">
        <is>
          <t xml:space="preserve">B</t>
        </is>
      </c>
      <c r="F502" s="2" t="str">
        <f>HYPERLINK("https://yandex.ru/maps/?pt=73.38741298052805,54.98244906773027&amp;z=17","открыть")</f>
        <v>открыть</v>
      </c>
      <c r="G502" s="2" t="str">
        <f>HYPERLINK("https://mediafasadomsk.com/surfaces/bb-marshala-zhukova-ul-nechetnaya-storona-posle-h-s-ul-lermontova-svetofor-b-a-900.jpg","смотреть")</f>
        <v>смотреть</v>
      </c>
      <c r="H502">
        <v>54.98244906773027</v>
      </c>
      <c r="I502">
        <v>73.38741298052805</v>
      </c>
    </row>
    <row r="503">
      <c r="A503">
        <v>502</v>
      </c>
      <c r="B503" t="inlineStr">
        <is>
          <t xml:space="preserve">Маршала Жукова, нечётная сторона, въезд на Фрунзенский мост (ТЦ «Триумф»)</t>
        </is>
      </c>
      <c r="C503" t="inlineStr">
        <is>
          <t xml:space="preserve">Цифровой билборд</t>
        </is>
      </c>
      <c r="D503" t="inlineStr">
        <is>
          <t xml:space="preserve">6×3</t>
        </is>
      </c>
      <c r="E503" t="inlineStr">
        <is>
          <t xml:space="preserve">A1</t>
        </is>
      </c>
      <c r="F503" s="2" t="str">
        <f>HYPERLINK("https://yandex.ru/maps/?pt=73.38633666634044,54.98770265255029&amp;z=17","открыть")</f>
        <v>открыть</v>
      </c>
      <c r="G503" s="2" t="str">
        <f>HYPERLINK("https://mediafasadomsk.com/surfaces/bb-marshala-zhukova-ul-nechetnaya-storona-vezd-na-frunzenskij-most-tc-triumf-a-900.jpg","смотреть")</f>
        <v>смотреть</v>
      </c>
      <c r="H503">
        <v>54.98770265255029</v>
      </c>
      <c r="I503">
        <v>73.38633666634044</v>
      </c>
    </row>
    <row r="504">
      <c r="A504">
        <v>503</v>
      </c>
      <c r="B504" t="inlineStr">
        <is>
          <t xml:space="preserve">Маршала Жукова, нечётная сторона, въезд на Фрунзенский мост (ТЦ «Триумф»)</t>
        </is>
      </c>
      <c r="C504" t="inlineStr">
        <is>
          <t xml:space="preserve">Билборд</t>
        </is>
      </c>
      <c r="D504" t="inlineStr">
        <is>
          <t xml:space="preserve">6×3</t>
        </is>
      </c>
      <c r="E504" t="inlineStr">
        <is>
          <t xml:space="preserve">B</t>
        </is>
      </c>
      <c r="F504" s="2" t="str">
        <f>HYPERLINK("https://yandex.ru/maps/?pt=73.38633666634044,54.98770265255029&amp;z=17","открыть")</f>
        <v>открыть</v>
      </c>
      <c r="G504" s="2" t="str">
        <f>HYPERLINK("https://mediafasadomsk.com/surfaces/bb-marshala-zhukova-ul-nechetnaya-storona-vezd-na-frunzenskij-most-tc-triumf-b-a-900.jpg","смотреть")</f>
        <v>смотреть</v>
      </c>
      <c r="H504">
        <v>54.98770265255029</v>
      </c>
      <c r="I504">
        <v>73.38633666634044</v>
      </c>
    </row>
    <row r="505">
      <c r="A505">
        <v>504</v>
      </c>
      <c r="B505" t="inlineStr">
        <is>
          <t xml:space="preserve">Маршала Жукова, Сажинская, 1</t>
        </is>
      </c>
      <c r="C505" t="inlineStr">
        <is>
          <t xml:space="preserve">Билборд</t>
        </is>
      </c>
      <c r="D505" t="inlineStr">
        <is>
          <t xml:space="preserve">6×3</t>
        </is>
      </c>
      <c r="E505" t="inlineStr">
        <is>
          <t xml:space="preserve">A, B</t>
        </is>
      </c>
      <c r="F505" s="2" t="str">
        <f>HYPERLINK("https://yandex.ru/maps/?pt=73.386237,54.986067&amp;z=17","открыть")</f>
        <v>открыть</v>
      </c>
      <c r="G505" s="2" t="str">
        <f>HYPERLINK("https://mediafasadomsk.com/surfaces/bb-marshala-zhukova-ul-sazhinskaya-ul-1-a-900.jpg","смотреть")</f>
        <v>смотреть</v>
      </c>
      <c r="H505">
        <v>54.986067</v>
      </c>
      <c r="I505">
        <v>73.386237</v>
      </c>
    </row>
    <row r="506">
      <c r="A506">
        <v>505</v>
      </c>
      <c r="B506" t="inlineStr">
        <is>
          <t xml:space="preserve">1-я Марьяновская, напротив дома 14</t>
        </is>
      </c>
      <c r="C506" t="inlineStr">
        <is>
          <t xml:space="preserve">Билборд</t>
        </is>
      </c>
      <c r="D506" t="inlineStr">
        <is>
          <t xml:space="preserve">6×3</t>
        </is>
      </c>
      <c r="E506" t="inlineStr">
        <is>
          <t xml:space="preserve">A, B</t>
        </is>
      </c>
      <c r="F506" s="2" t="str">
        <f>HYPERLINK("https://yandex.ru/maps/?pt=73.36386017378514,54.92149051232279&amp;z=17","открыть")</f>
        <v>открыть</v>
      </c>
      <c r="G506" s="2" t="str">
        <f>HYPERLINK("https://mediafasadomsk.com/surfaces/bb-maryanovskaya-1-ya-ul-14-naprotiv-a-900.jpg","смотреть")</f>
        <v>смотреть</v>
      </c>
      <c r="H506">
        <v>54.92149051232279</v>
      </c>
      <c r="I506">
        <v>73.36386017378514</v>
      </c>
    </row>
    <row r="507">
      <c r="A507">
        <v>506</v>
      </c>
      <c r="B507" t="inlineStr">
        <is>
          <t xml:space="preserve">Машиностроительная, 15</t>
        </is>
      </c>
      <c r="C507" t="inlineStr">
        <is>
          <t xml:space="preserve">Билборд</t>
        </is>
      </c>
      <c r="D507" t="inlineStr">
        <is>
          <t xml:space="preserve">6×3</t>
        </is>
      </c>
      <c r="E507" t="inlineStr">
        <is>
          <t xml:space="preserve">A, B</t>
        </is>
      </c>
      <c r="F507" s="2" t="str">
        <f>HYPERLINK("https://yandex.ru/maps/?pt=73.44801217845485,54.920136135842995&amp;z=17","открыть")</f>
        <v>открыть</v>
      </c>
      <c r="G507" s="2" t="str">
        <f>HYPERLINK("https://mediafasadomsk.com/surfaces/bb-mashinostroitelnaya-ul-15-a-900.jpg","смотреть")</f>
        <v>смотреть</v>
      </c>
      <c r="H507">
        <v>54.920136135842995</v>
      </c>
      <c r="I507">
        <v>73.44801217845485</v>
      </c>
    </row>
    <row r="508">
      <c r="A508">
        <v>507</v>
      </c>
      <c r="B508" t="inlineStr">
        <is>
          <t xml:space="preserve">Машиностроительная, 20</t>
        </is>
      </c>
      <c r="C508" t="inlineStr">
        <is>
          <t xml:space="preserve">Билборд</t>
        </is>
      </c>
      <c r="D508" t="inlineStr">
        <is>
          <t xml:space="preserve">6×3</t>
        </is>
      </c>
      <c r="E508" t="inlineStr">
        <is>
          <t xml:space="preserve">A, B</t>
        </is>
      </c>
      <c r="F508" s="2" t="str">
        <f>HYPERLINK("https://yandex.ru/maps/?pt=73.44716996482306,54.919898742991855&amp;z=17","открыть")</f>
        <v>открыть</v>
      </c>
      <c r="G508" s="2" t="str">
        <f>HYPERLINK("https://mediafasadomsk.com/surfaces/bb-mashinostroitelnaya-ul-20-a-900.jpg","смотреть")</f>
        <v>смотреть</v>
      </c>
      <c r="H508">
        <v>54.919898742991855</v>
      </c>
      <c r="I508">
        <v>73.44716996482306</v>
      </c>
    </row>
    <row r="509">
      <c r="A509">
        <v>508</v>
      </c>
      <c r="B509" t="inlineStr">
        <is>
          <t xml:space="preserve">Машиностроительная, напротив дома 45</t>
        </is>
      </c>
      <c r="C509" t="inlineStr">
        <is>
          <t xml:space="preserve">Билборд</t>
        </is>
      </c>
      <c r="D509" t="inlineStr">
        <is>
          <t xml:space="preserve">6×3</t>
        </is>
      </c>
      <c r="E509" t="inlineStr">
        <is>
          <t xml:space="preserve">A, B</t>
        </is>
      </c>
      <c r="F509" s="2" t="str">
        <f>HYPERLINK("https://yandex.ru/maps/?pt=73.44324944543843,54.91688766070799&amp;z=17","открыть")</f>
        <v>открыть</v>
      </c>
      <c r="G509" s="2" t="str">
        <f>HYPERLINK("https://mediafasadomsk.com/surfaces/bb-mashinostroitelnaya-ul-45-naprotiv-a-900.jpg","смотреть")</f>
        <v>смотреть</v>
      </c>
      <c r="H509">
        <v>54.91688766070799</v>
      </c>
      <c r="I509">
        <v>73.44324944543843</v>
      </c>
    </row>
    <row r="510">
      <c r="A510">
        <v>509</v>
      </c>
      <c r="B510" t="inlineStr">
        <is>
          <t xml:space="preserve">Машиностроительная, 8 (светофор)</t>
        </is>
      </c>
      <c r="C510" t="inlineStr">
        <is>
          <t xml:space="preserve">Билборд</t>
        </is>
      </c>
      <c r="D510" t="inlineStr">
        <is>
          <t xml:space="preserve">6×3</t>
        </is>
      </c>
      <c r="E510" t="inlineStr">
        <is>
          <t xml:space="preserve">A, B</t>
        </is>
      </c>
      <c r="F510" s="2" t="str">
        <f>HYPERLINK("https://yandex.ru/maps/?pt=73.44910102943115,54.92133198257616&amp;z=17","открыть")</f>
        <v>открыть</v>
      </c>
      <c r="G510" s="2" t="str">
        <f>HYPERLINK("https://mediafasadomsk.com/surfaces/bb-mashinostroitelnaya-ul-8-svetofor-a-900.jpg","смотреть")</f>
        <v>смотреть</v>
      </c>
      <c r="H510">
        <v>54.92133198257616</v>
      </c>
      <c r="I510">
        <v>73.44910102943115</v>
      </c>
    </row>
    <row r="511">
      <c r="A511">
        <v>510</v>
      </c>
      <c r="B511" t="inlineStr">
        <is>
          <t xml:space="preserve">Машиностроительная, 82</t>
        </is>
      </c>
      <c r="C511" t="inlineStr">
        <is>
          <t xml:space="preserve">Билборд</t>
        </is>
      </c>
      <c r="D511" t="inlineStr">
        <is>
          <t xml:space="preserve">6×3</t>
        </is>
      </c>
      <c r="E511" t="inlineStr">
        <is>
          <t xml:space="preserve">A, B</t>
        </is>
      </c>
      <c r="F511" s="2" t="str">
        <f>HYPERLINK("https://yandex.ru/maps/?pt=73.44326769080615,54.91220390530163&amp;z=17","открыть")</f>
        <v>открыть</v>
      </c>
      <c r="G511" s="2" t="str">
        <f>HYPERLINK("https://mediafasadomsk.com/surfaces/bb-mashinostroitelnaya-ul-82-a-900.jpg","смотреть")</f>
        <v>смотреть</v>
      </c>
      <c r="H511">
        <v>54.91220390530163</v>
      </c>
      <c r="I511">
        <v>73.44326769080615</v>
      </c>
    </row>
    <row r="512">
      <c r="A512">
        <v>511</v>
      </c>
      <c r="B512" t="inlineStr">
        <is>
          <t xml:space="preserve">Пересечение Машиностроительной и Черлакского тракта (дом 5)</t>
        </is>
      </c>
      <c r="C512" t="inlineStr">
        <is>
          <t xml:space="preserve">Билборд</t>
        </is>
      </c>
      <c r="D512" t="inlineStr">
        <is>
          <t xml:space="preserve">6×3</t>
        </is>
      </c>
      <c r="E512" t="inlineStr">
        <is>
          <t xml:space="preserve">A, B</t>
        </is>
      </c>
      <c r="F512" s="2" t="str">
        <f>HYPERLINK("https://yandex.ru/maps/?pt=73.433122,54.895517&amp;z=17","открыть")</f>
        <v>открыть</v>
      </c>
      <c r="G512" s="2" t="str">
        <f>HYPERLINK("https://mediafasadomsk.com/surfaces/bb-mashinostroitelnaya-ul-cherlakskij-trakt-5-a-900.jpg","смотреть")</f>
        <v>смотреть</v>
      </c>
      <c r="H512">
        <v>54.895517</v>
      </c>
      <c r="I512">
        <v>73.433122</v>
      </c>
    </row>
    <row r="513">
      <c r="A513">
        <v>512</v>
      </c>
      <c r="B513" t="inlineStr">
        <is>
          <t xml:space="preserve">Машиностроительная, нечётная сторона, пересечение с улицей Ярослава Гашека (светофор)</t>
        </is>
      </c>
      <c r="C513" t="inlineStr">
        <is>
          <t xml:space="preserve">Билборд</t>
        </is>
      </c>
      <c r="D513" t="inlineStr">
        <is>
          <t xml:space="preserve">6×3</t>
        </is>
      </c>
      <c r="E513" t="inlineStr">
        <is>
          <t xml:space="preserve">A, B</t>
        </is>
      </c>
      <c r="F513" s="2" t="str">
        <f>HYPERLINK("https://yandex.ru/maps/?pt=73.44140804662766,54.90842379229524&amp;z=17","открыть")</f>
        <v>открыть</v>
      </c>
      <c r="G513" s="2" t="str">
        <f>HYPERLINK("https://mediafasadomsk.com/surfaces/bb-mashinostroitelnaya-ul-nechetnaya-storona-h-s-ul-yaroslava-gasheka-svetofor-a-900.jpg","смотреть")</f>
        <v>смотреть</v>
      </c>
      <c r="H513">
        <v>54.90842379229524</v>
      </c>
      <c r="I513">
        <v>73.44140804662766</v>
      </c>
    </row>
    <row r="514">
      <c r="A514">
        <v>513</v>
      </c>
      <c r="B514" t="inlineStr">
        <is>
          <t xml:space="preserve">Масленникова, 134 (у пересечения с улицей Богдана Хмельницкого, светофор, ТЦ «Парк»)</t>
        </is>
      </c>
      <c r="C514" t="inlineStr">
        <is>
          <t xml:space="preserve">Цифровой билборд</t>
        </is>
      </c>
      <c r="D514" t="inlineStr">
        <is>
          <t xml:space="preserve">6×3</t>
        </is>
      </c>
      <c r="E514" t="inlineStr">
        <is>
          <t xml:space="preserve">A1</t>
        </is>
      </c>
      <c r="F514" s="2" t="str">
        <f>HYPERLINK("https://yandex.ru/maps/?pt=73.4126495342658,54.974610746670415&amp;z=17","открыть")</f>
        <v>открыть</v>
      </c>
      <c r="G514" s="2" t="str">
        <f>HYPERLINK("https://mediafasadomsk.com/surfaces/bb-maslennikova-ul-134-h-s-ul-bogdana-hmelnickogo-svetofor-tc-park-a-900.jpg","смотреть")</f>
        <v>смотреть</v>
      </c>
      <c r="H514">
        <v>54.974610746670415</v>
      </c>
      <c r="I514">
        <v>73.4126495342658</v>
      </c>
    </row>
    <row r="515">
      <c r="A515">
        <v>514</v>
      </c>
      <c r="B515" t="inlineStr">
        <is>
          <t xml:space="preserve">Масленникова, напротив дома 134, после пересечения с улицей Богдана Хмельницкого (светофор, ТЦ «Парк»)</t>
        </is>
      </c>
      <c r="C515" t="inlineStr">
        <is>
          <t xml:space="preserve">Билборд</t>
        </is>
      </c>
      <c r="D515" t="inlineStr">
        <is>
          <t xml:space="preserve">6×3</t>
        </is>
      </c>
      <c r="E515" t="inlineStr">
        <is>
          <t xml:space="preserve">A</t>
        </is>
      </c>
      <c r="F515" s="2" t="str">
        <f>HYPERLINK("https://yandex.ru/maps/?pt=73.41341664604342,54.97494326502862&amp;z=17","открыть")</f>
        <v>открыть</v>
      </c>
      <c r="G515" s="2" t="str">
        <f>HYPERLINK("https://mediafasadomsk.com/surfaces/bb-maslennikova-ul-134-naprotiv-posle-h-s-ul-bogdana-hmelnickogo-svetofor-tc-park-a-900.jpg","смотреть")</f>
        <v>смотреть</v>
      </c>
      <c r="H515">
        <v>54.97494326502862</v>
      </c>
      <c r="I515">
        <v>73.41341664604342</v>
      </c>
    </row>
    <row r="516">
      <c r="A516">
        <v>515</v>
      </c>
      <c r="B516" t="inlineStr">
        <is>
          <t xml:space="preserve">Масленникова, 142/1, до пересечения с улицей Линия 20-я</t>
        </is>
      </c>
      <c r="C516" t="inlineStr">
        <is>
          <t xml:space="preserve">Билборд</t>
        </is>
      </c>
      <c r="D516" t="inlineStr">
        <is>
          <t xml:space="preserve">6×3</t>
        </is>
      </c>
      <c r="E516" t="inlineStr">
        <is>
          <t xml:space="preserve">A, B</t>
        </is>
      </c>
      <c r="F516" s="2" t="str">
        <f>HYPERLINK("https://yandex.ru/maps/?pt=73.42569428472419,54.975561554424196&amp;z=17","открыть")</f>
        <v>открыть</v>
      </c>
      <c r="G516" s="2" t="str">
        <f>HYPERLINK("https://mediafasadomsk.com/surfaces/bb-maslennikova-ul-142-1-do-h-s-ul-liniya-20-ya-a-900.jpg","смотреть")</f>
        <v>смотреть</v>
      </c>
      <c r="H516">
        <v>54.975561554424196</v>
      </c>
      <c r="I516">
        <v>73.42569428472419</v>
      </c>
    </row>
    <row r="517">
      <c r="A517">
        <v>516</v>
      </c>
      <c r="B517" t="inlineStr">
        <is>
          <t xml:space="preserve">Масленникова, 15</t>
        </is>
      </c>
      <c r="C517" t="inlineStr">
        <is>
          <t xml:space="preserve">Билборд</t>
        </is>
      </c>
      <c r="D517" t="inlineStr">
        <is>
          <t xml:space="preserve">6×3</t>
        </is>
      </c>
      <c r="E517" t="inlineStr">
        <is>
          <t xml:space="preserve">A, B</t>
        </is>
      </c>
      <c r="F517" s="2" t="str">
        <f>HYPERLINK("https://yandex.ru/maps/?pt=73.39429999999976,54.973700000000015&amp;z=17","открыть")</f>
        <v>открыть</v>
      </c>
      <c r="G517" s="2" t="str">
        <f>HYPERLINK("https://mediafasadomsk.com/surfaces/bb-maslennikova-ul-15-a-900.jpg","смотреть")</f>
        <v>смотреть</v>
      </c>
      <c r="H517">
        <v>54.973700000000015</v>
      </c>
      <c r="I517">
        <v>73.39429999999976</v>
      </c>
    </row>
    <row r="518">
      <c r="A518">
        <v>517</v>
      </c>
      <c r="B518" t="inlineStr">
        <is>
          <t xml:space="preserve">Масленникова, 185, пересечение с улицей Линия 20-я</t>
        </is>
      </c>
      <c r="C518" t="inlineStr">
        <is>
          <t xml:space="preserve">Билборд</t>
        </is>
      </c>
      <c r="D518" t="inlineStr">
        <is>
          <t xml:space="preserve">6×3</t>
        </is>
      </c>
      <c r="E518" t="inlineStr">
        <is>
          <t xml:space="preserve">A, B</t>
        </is>
      </c>
      <c r="F518" s="2" t="str">
        <f>HYPERLINK("https://yandex.ru/maps/?pt=73.42597323446186,54.97572472999738&amp;z=17","открыть")</f>
        <v>открыть</v>
      </c>
      <c r="G518" s="2" t="str">
        <f>HYPERLINK("https://mediafasadomsk.com/surfaces/bb-maslennikova-ul-185-h-s-ul-liniya-20-ya-a-900.jpg","смотреть")</f>
        <v>смотреть</v>
      </c>
      <c r="H518">
        <v>54.97572472999738</v>
      </c>
      <c r="I518">
        <v>73.42597323446186</v>
      </c>
    </row>
    <row r="519">
      <c r="A519">
        <v>518</v>
      </c>
      <c r="B519" t="inlineStr">
        <is>
          <t xml:space="preserve">Масленникова, 209А</t>
        </is>
      </c>
      <c r="C519" t="inlineStr">
        <is>
          <t xml:space="preserve">Билборд</t>
        </is>
      </c>
      <c r="D519" t="inlineStr">
        <is>
          <t xml:space="preserve">6×3</t>
        </is>
      </c>
      <c r="E519" t="inlineStr">
        <is>
          <t xml:space="preserve">B</t>
        </is>
      </c>
      <c r="F519" s="2" t="str">
        <f>HYPERLINK("https://yandex.ru/maps/?pt=73.42754469686409,54.975811915121064&amp;z=17","открыть")</f>
        <v>открыть</v>
      </c>
      <c r="G519" s="2" t="str">
        <f>HYPERLINK("https://mediafasadomsk.com/surfaces/bb-maslennikova-ul-209a-a-900.jpg","смотреть")</f>
        <v>смотреть</v>
      </c>
      <c r="H519">
        <v>54.975811915121064</v>
      </c>
      <c r="I519">
        <v>73.42754469686409</v>
      </c>
    </row>
    <row r="520">
      <c r="A520">
        <v>519</v>
      </c>
      <c r="B520" t="inlineStr">
        <is>
          <t xml:space="preserve">Масленникова, 21Б</t>
        </is>
      </c>
      <c r="C520" t="inlineStr">
        <is>
          <t xml:space="preserve">Билборд</t>
        </is>
      </c>
      <c r="D520" t="inlineStr">
        <is>
          <t xml:space="preserve">6×3</t>
        </is>
      </c>
      <c r="E520" t="inlineStr">
        <is>
          <t xml:space="preserve">A, B</t>
        </is>
      </c>
      <c r="F520" s="2" t="str">
        <f>HYPERLINK("https://yandex.ru/maps/?pt=73.400074,54.974092&amp;z=17","открыть")</f>
        <v>открыть</v>
      </c>
      <c r="G520" s="2" t="str">
        <f>HYPERLINK("https://mediafasadomsk.com/surfaces/bb-maslennikova-ul-21b-a-900.jpg","смотреть")</f>
        <v>смотреть</v>
      </c>
      <c r="H520">
        <v>54.974092</v>
      </c>
      <c r="I520">
        <v>73.400074</v>
      </c>
    </row>
    <row r="521">
      <c r="A521">
        <v>520</v>
      </c>
      <c r="B521" t="inlineStr">
        <is>
          <t xml:space="preserve">Масленникова, 26/1 (светофор)</t>
        </is>
      </c>
      <c r="C521" t="inlineStr">
        <is>
          <t xml:space="preserve">Билборд</t>
        </is>
      </c>
      <c r="D521" t="inlineStr">
        <is>
          <t xml:space="preserve">6×3</t>
        </is>
      </c>
      <c r="E521" t="inlineStr">
        <is>
          <t xml:space="preserve">A, B</t>
        </is>
      </c>
      <c r="F521" s="2" t="str">
        <f>HYPERLINK("https://yandex.ru/maps/?pt=73.38592210283262,54.97292153062471&amp;z=17","открыть")</f>
        <v>открыть</v>
      </c>
      <c r="G521" s="2" t="str">
        <f>HYPERLINK("https://mediafasadomsk.com/surfaces/bb-maslennikova-ul-26-1-svetofor-a-900.jpg","смотреть")</f>
        <v>смотреть</v>
      </c>
      <c r="H521">
        <v>54.97292153062471</v>
      </c>
      <c r="I521">
        <v>73.38592210283262</v>
      </c>
    </row>
    <row r="522">
      <c r="A522">
        <v>521</v>
      </c>
      <c r="B522" t="inlineStr">
        <is>
          <t xml:space="preserve">Масленникова, 45 (светофор)</t>
        </is>
      </c>
      <c r="C522" t="inlineStr">
        <is>
          <t xml:space="preserve">Билборд</t>
        </is>
      </c>
      <c r="D522" t="inlineStr">
        <is>
          <t xml:space="preserve">6×3</t>
        </is>
      </c>
      <c r="E522" t="inlineStr">
        <is>
          <t xml:space="preserve">A, B</t>
        </is>
      </c>
      <c r="F522" s="2" t="str">
        <f>HYPERLINK("https://yandex.ru/maps/?pt=73.40908000230851,54.97457091862351&amp;z=17","открыть")</f>
        <v>открыть</v>
      </c>
      <c r="G522" s="2" t="str">
        <f>HYPERLINK("https://mediafasadomsk.com/surfaces/bb-maslennikova-ul-45-svetofor-a-900.jpg","смотреть")</f>
        <v>смотреть</v>
      </c>
      <c r="H522">
        <v>54.97457091862351</v>
      </c>
      <c r="I522">
        <v>73.40908000230851</v>
      </c>
    </row>
    <row r="523">
      <c r="A523">
        <v>522</v>
      </c>
      <c r="B523" t="inlineStr">
        <is>
          <t xml:space="preserve">Масленникова, 49, после пересечения с улицей Богдана Хмельницкого (светофор, ТЦ «Парк»)</t>
        </is>
      </c>
      <c r="C523" t="inlineStr">
        <is>
          <t xml:space="preserve">Билборд</t>
        </is>
      </c>
      <c r="D523" t="inlineStr">
        <is>
          <t xml:space="preserve">6×3</t>
        </is>
      </c>
      <c r="E523" t="inlineStr">
        <is>
          <t xml:space="preserve">A, B</t>
        </is>
      </c>
      <c r="F523" s="2" t="str">
        <f>HYPERLINK("https://yandex.ru/maps/?pt=73.41083953142228,54.9746786792316&amp;z=17","открыть")</f>
        <v>открыть</v>
      </c>
      <c r="G523" s="2" t="str">
        <f>HYPERLINK("https://mediafasadomsk.com/surfaces/bb-maslennikova-ul-49-posle-h-s-ul-bogdana-hmelnickogo-svetofor-tc-park-a-900.jpg","смотреть")</f>
        <v>смотреть</v>
      </c>
      <c r="H523">
        <v>54.9746786792316</v>
      </c>
      <c r="I523">
        <v>73.41083953142228</v>
      </c>
    </row>
    <row r="524">
      <c r="A524">
        <v>523</v>
      </c>
      <c r="B524" t="inlineStr">
        <is>
          <t xml:space="preserve">Масленникова, 58, после пересечения с улицей Маршала Жукова (светофор)</t>
        </is>
      </c>
      <c r="C524" t="inlineStr">
        <is>
          <t xml:space="preserve">Цифровой билборд</t>
        </is>
      </c>
      <c r="D524" t="inlineStr">
        <is>
          <t xml:space="preserve">6×3</t>
        </is>
      </c>
      <c r="E524" t="inlineStr">
        <is>
          <t xml:space="preserve">A1, B1</t>
        </is>
      </c>
      <c r="F524" s="2" t="str">
        <f>HYPERLINK("https://yandex.ru/maps/?pt=73.39072108268725,54.973101698940425&amp;z=17","открыть")</f>
        <v>открыть</v>
      </c>
      <c r="G524" s="2" t="str">
        <f>HYPERLINK("https://mediafasadomsk.com/surfaces/bb-maslennikova-ul-58-posle-h-s-ul-marshala-zhukova-svetofor-a-900.jpg","смотреть")</f>
        <v>смотреть</v>
      </c>
      <c r="H524">
        <v>54.973101698940425</v>
      </c>
      <c r="I524">
        <v>73.39072108268725</v>
      </c>
    </row>
    <row r="525">
      <c r="A525">
        <v>524</v>
      </c>
      <c r="B525" t="inlineStr">
        <is>
          <t xml:space="preserve">Масленникова, 62</t>
        </is>
      </c>
      <c r="C525" t="inlineStr">
        <is>
          <t xml:space="preserve">Билборд</t>
        </is>
      </c>
      <c r="D525" t="inlineStr">
        <is>
          <t xml:space="preserve">6×3</t>
        </is>
      </c>
      <c r="E525" t="inlineStr">
        <is>
          <t xml:space="preserve">A, B</t>
        </is>
      </c>
      <c r="F525" s="2" t="str">
        <f>HYPERLINK("https://yandex.ru/maps/?pt=73.39461300363467,54.97335539878686&amp;z=17","открыть")</f>
        <v>открыть</v>
      </c>
      <c r="G525" s="2" t="str">
        <f>HYPERLINK("https://mediafasadomsk.com/surfaces/bb-maslennikova-ul-62-a-900.jpg","смотреть")</f>
        <v>смотреть</v>
      </c>
      <c r="H525">
        <v>54.97335539878686</v>
      </c>
      <c r="I525">
        <v>73.39461300363467</v>
      </c>
    </row>
    <row r="526">
      <c r="A526">
        <v>525</v>
      </c>
      <c r="B526" t="inlineStr">
        <is>
          <t xml:space="preserve">Масленникова, 64 (у пересечения с улицей Куйбышева, светофор)</t>
        </is>
      </c>
      <c r="C526" t="inlineStr">
        <is>
          <t xml:space="preserve">Билборд</t>
        </is>
      </c>
      <c r="D526" t="inlineStr">
        <is>
          <t xml:space="preserve">6×3</t>
        </is>
      </c>
      <c r="E526" t="inlineStr">
        <is>
          <t xml:space="preserve">A, B</t>
        </is>
      </c>
      <c r="F526" s="2" t="str">
        <f>HYPERLINK("https://yandex.ru/maps/?pt=73.39810419874244,54.9735800299977&amp;z=17","открыть")</f>
        <v>открыть</v>
      </c>
      <c r="G526" s="2" t="str">
        <f>HYPERLINK("https://mediafasadomsk.com/surfaces/bb-maslennikova-ul-64-h-s-ul-kujbysheva-svetofor-a-900.jpg","смотреть")</f>
        <v>смотреть</v>
      </c>
      <c r="H526">
        <v>54.9735800299977</v>
      </c>
      <c r="I526">
        <v>73.39810419874244</v>
      </c>
    </row>
    <row r="527">
      <c r="A527">
        <v>526</v>
      </c>
      <c r="B527" t="inlineStr">
        <is>
          <t xml:space="preserve">Масленникова, напротив дома 64 (у пересечения с улицей Куйбышева, светофор)</t>
        </is>
      </c>
      <c r="C527" t="inlineStr">
        <is>
          <t xml:space="preserve">Цифровой билборд</t>
        </is>
      </c>
      <c r="D527" t="inlineStr">
        <is>
          <t xml:space="preserve">6×3</t>
        </is>
      </c>
      <c r="E527" t="inlineStr">
        <is>
          <t xml:space="preserve">A1, B1</t>
        </is>
      </c>
      <c r="F527" s="2" t="str">
        <f>HYPERLINK("https://yandex.ru/maps/?pt=73.39857935972256,54.973919873167134&amp;z=17","открыть")</f>
        <v>открыть</v>
      </c>
      <c r="G527" s="2" t="str">
        <f>HYPERLINK("https://mediafasadomsk.com/surfaces/bb-maslennikova-ul-64-naprotiv-h-s-ul-kujbysheva-svetofor-a-900.jpg","смотреть")</f>
        <v>смотреть</v>
      </c>
      <c r="H527">
        <v>54.973919873167134</v>
      </c>
      <c r="I527">
        <v>73.39857935972256</v>
      </c>
    </row>
    <row r="528">
      <c r="A528">
        <v>527</v>
      </c>
      <c r="B528" t="inlineStr">
        <is>
          <t xml:space="preserve">Масленникова, 70 (светофор)</t>
        </is>
      </c>
      <c r="C528" t="inlineStr">
        <is>
          <t xml:space="preserve">Билборд</t>
        </is>
      </c>
      <c r="D528" t="inlineStr">
        <is>
          <t xml:space="preserve">6×3</t>
        </is>
      </c>
      <c r="E528" t="inlineStr">
        <is>
          <t xml:space="preserve">A, B</t>
        </is>
      </c>
      <c r="F528" s="2" t="str">
        <f>HYPERLINK("https://yandex.ru/maps/?pt=73.40130874833994,54.97380305657882&amp;z=17","открыть")</f>
        <v>открыть</v>
      </c>
      <c r="G528" s="2" t="str">
        <f>HYPERLINK("https://mediafasadomsk.com/surfaces/bb-maslennikova-ul-70-svetofor-a-900.jpg","смотреть")</f>
        <v>смотреть</v>
      </c>
      <c r="H528">
        <v>54.97380305657882</v>
      </c>
      <c r="I528">
        <v>73.40130874833994</v>
      </c>
    </row>
    <row r="529">
      <c r="A529">
        <v>528</v>
      </c>
      <c r="B529" t="inlineStr">
        <is>
          <t xml:space="preserve">Масленникова, 80 (светофор)</t>
        </is>
      </c>
      <c r="C529" t="inlineStr">
        <is>
          <t xml:space="preserve">Билборд</t>
        </is>
      </c>
      <c r="D529" t="inlineStr">
        <is>
          <t xml:space="preserve">6×3</t>
        </is>
      </c>
      <c r="E529" t="inlineStr">
        <is>
          <t xml:space="preserve">A, B</t>
        </is>
      </c>
      <c r="F529" s="2" t="str">
        <f>HYPERLINK("https://yandex.ru/maps/?pt=73.40981492757865,54.974296898791465&amp;z=17","открыть")</f>
        <v>открыть</v>
      </c>
      <c r="G529" s="2" t="str">
        <f>HYPERLINK("https://mediafasadomsk.com/surfaces/bb-maslennikova-ul-80-svetofor-a-900.jpg","смотреть")</f>
        <v>смотреть</v>
      </c>
      <c r="H529">
        <v>54.974296898791465</v>
      </c>
      <c r="I529">
        <v>73.40981492757865</v>
      </c>
    </row>
    <row r="530">
      <c r="A530">
        <v>529</v>
      </c>
      <c r="B530" t="inlineStr">
        <is>
          <t xml:space="preserve">Масленникова, чётная сторона, пересечение с улицей Пушкина (светофор)</t>
        </is>
      </c>
      <c r="C530" t="inlineStr">
        <is>
          <t xml:space="preserve">Билборд</t>
        </is>
      </c>
      <c r="D530" t="inlineStr">
        <is>
          <t xml:space="preserve">6×3</t>
        </is>
      </c>
      <c r="E530" t="inlineStr">
        <is>
          <t xml:space="preserve">A, B</t>
        </is>
      </c>
      <c r="F530" s="2" t="str">
        <f>HYPERLINK("https://yandex.ru/maps/?pt=73.38741341104455,54.97300466326862&amp;z=17","открыть")</f>
        <v>открыть</v>
      </c>
      <c r="G530" s="2" t="str">
        <f>HYPERLINK("https://mediafasadomsk.com/surfaces/bb-maslennikova-ul-chetnaya-storona-h-s-ul-pushkina-svetofor-a-900.jpg","смотреть")</f>
        <v>смотреть</v>
      </c>
      <c r="H530">
        <v>54.97300466326862</v>
      </c>
      <c r="I530">
        <v>73.38741341104455</v>
      </c>
    </row>
    <row r="531">
      <c r="A531">
        <v>530</v>
      </c>
      <c r="B531" t="inlineStr">
        <is>
          <t xml:space="preserve">Пересечение Куйбышева и Масленникова (дом 81)</t>
        </is>
      </c>
      <c r="C531" t="inlineStr">
        <is>
          <t xml:space="preserve">Цифровой билборд</t>
        </is>
      </c>
      <c r="D531" t="inlineStr">
        <is>
          <t xml:space="preserve">6×3</t>
        </is>
      </c>
      <c r="E531" t="inlineStr">
        <is>
          <t xml:space="preserve">A</t>
        </is>
      </c>
      <c r="F531" s="2" t="str">
        <f>HYPERLINK("https://yandex.ru/maps/?pt=73.399,54.974222&amp;z=17","открыть")</f>
        <v>открыть</v>
      </c>
      <c r="G531" s="2" t="str">
        <f>HYPERLINK("https://mediafasadomsk.com/surfaces/bb-maslennikova-ul-kujbysheva-ul-81-a-900.jpg","смотреть")</f>
        <v>смотреть</v>
      </c>
      <c r="H531">
        <v>54.974222</v>
      </c>
      <c r="I531">
        <v>73.399</v>
      </c>
    </row>
    <row r="532">
      <c r="A532">
        <v>531</v>
      </c>
      <c r="B532" t="inlineStr">
        <is>
          <t xml:space="preserve">Пересечение Куйбышева и Масленникова (дом 81)</t>
        </is>
      </c>
      <c r="C532" t="inlineStr">
        <is>
          <t xml:space="preserve">Билборд</t>
        </is>
      </c>
      <c r="D532" t="inlineStr">
        <is>
          <t xml:space="preserve">6×3</t>
        </is>
      </c>
      <c r="E532" t="inlineStr">
        <is>
          <t xml:space="preserve">B</t>
        </is>
      </c>
      <c r="F532" s="2" t="str">
        <f>HYPERLINK("https://yandex.ru/maps/?pt=73.399,54.974222&amp;z=17","открыть")</f>
        <v>открыть</v>
      </c>
      <c r="G532" s="2" t="str">
        <f>HYPERLINK("https://mediafasadomsk.com/surfaces/bb-maslennikova-ul-kujbysheva-ul-81-b-a-900.jpg","смотреть")</f>
        <v>смотреть</v>
      </c>
      <c r="H532">
        <v>54.974222</v>
      </c>
      <c r="I532">
        <v>73.399</v>
      </c>
    </row>
    <row r="533">
      <c r="A533">
        <v>532</v>
      </c>
      <c r="B533" t="inlineStr">
        <is>
          <t xml:space="preserve">Пересечение Масленникова и Учебной</t>
        </is>
      </c>
      <c r="C533" t="inlineStr">
        <is>
          <t xml:space="preserve">Билборд</t>
        </is>
      </c>
      <c r="D533" t="inlineStr">
        <is>
          <t xml:space="preserve">6×3</t>
        </is>
      </c>
      <c r="E533" t="inlineStr">
        <is>
          <t xml:space="preserve">A, B</t>
        </is>
      </c>
      <c r="F533" s="2" t="str">
        <f>HYPERLINK("https://yandex.ru/maps/?pt=73.39116,54.973517&amp;z=17","открыть")</f>
        <v>открыть</v>
      </c>
      <c r="G533" s="2" t="str">
        <f>HYPERLINK("https://mediafasadomsk.com/surfaces/bb-maslennikova-ul-uchebnaya-ul-a-900.jpg","смотреть")</f>
        <v>смотреть</v>
      </c>
      <c r="H533">
        <v>54.973517</v>
      </c>
      <c r="I533">
        <v>73.39116</v>
      </c>
    </row>
    <row r="534">
      <c r="A534">
        <v>533</v>
      </c>
      <c r="B534" t="inlineStr">
        <is>
          <t xml:space="preserve">Маяковского, напротив дома 16 (у пересечения с улицей Маршала Жукова, светофор)</t>
        </is>
      </c>
      <c r="C534" t="inlineStr">
        <is>
          <t xml:space="preserve">Билборд</t>
        </is>
      </c>
      <c r="D534" t="inlineStr">
        <is>
          <t xml:space="preserve">6×3</t>
        </is>
      </c>
      <c r="E534" t="inlineStr">
        <is>
          <t xml:space="preserve">A, B</t>
        </is>
      </c>
      <c r="F534" s="2" t="str">
        <f>HYPERLINK("https://yandex.ru/maps/?pt=73.38900000000008,54.971000000000004&amp;z=17","открыть")</f>
        <v>открыть</v>
      </c>
      <c r="G534" s="2" t="str">
        <f>HYPERLINK("https://mediafasadomsk.com/surfaces/bb-mayakovskogo-ul-16-naprotiv-h-s-ul-marshala-zhukova-svetofor-a-900.jpg","смотреть")</f>
        <v>смотреть</v>
      </c>
      <c r="H534">
        <v>54.971000000000004</v>
      </c>
      <c r="I534">
        <v>73.38900000000008</v>
      </c>
    </row>
    <row r="535">
      <c r="A535">
        <v>534</v>
      </c>
      <c r="B535" t="inlineStr">
        <is>
          <t xml:space="preserve">Маяковского, 18 (у пересечения с улицей Маршала Жукова, светофор)</t>
        </is>
      </c>
      <c r="C535" t="inlineStr">
        <is>
          <t xml:space="preserve">Цифровой билборд</t>
        </is>
      </c>
      <c r="D535" t="inlineStr">
        <is>
          <t xml:space="preserve">6×3</t>
        </is>
      </c>
      <c r="E535" t="inlineStr">
        <is>
          <t xml:space="preserve">A1, B1</t>
        </is>
      </c>
      <c r="F535" s="2" t="str">
        <f>HYPERLINK("https://yandex.ru/maps/?pt=73.39077440013946,54.97097044482024&amp;z=17","открыть")</f>
        <v>открыть</v>
      </c>
      <c r="G535" s="2" t="str">
        <f>HYPERLINK("https://mediafasadomsk.com/surfaces/bb-mayakovskogo-ul-18-h-s-ul-marshala-zhukova-svetofor-a-900.jpg","смотреть")</f>
        <v>смотреть</v>
      </c>
      <c r="H535">
        <v>54.97097044482024</v>
      </c>
      <c r="I535">
        <v>73.39077440013946</v>
      </c>
    </row>
    <row r="536">
      <c r="A536">
        <v>535</v>
      </c>
      <c r="B536" t="inlineStr">
        <is>
          <t xml:space="preserve">Маяковского, 2</t>
        </is>
      </c>
      <c r="C536" t="inlineStr">
        <is>
          <t xml:space="preserve">Билборд</t>
        </is>
      </c>
      <c r="D536" t="inlineStr">
        <is>
          <t xml:space="preserve">6×3</t>
        </is>
      </c>
      <c r="E536" t="inlineStr">
        <is>
          <t xml:space="preserve">A</t>
        </is>
      </c>
      <c r="F536" s="2" t="str">
        <f>HYPERLINK("https://yandex.ru/maps/?pt=73.38068450010778,54.97027660358999&amp;z=17","открыть")</f>
        <v>открыть</v>
      </c>
      <c r="G536" s="2" t="str">
        <f>HYPERLINK("https://mediafasadomsk.com/surfaces/bb-mayakovskogo-ul-2-a-900.jpg","смотреть")</f>
        <v>смотреть</v>
      </c>
      <c r="H536">
        <v>54.97027660358999</v>
      </c>
      <c r="I536">
        <v>73.38068450010778</v>
      </c>
    </row>
    <row r="537">
      <c r="A537">
        <v>536</v>
      </c>
      <c r="B537" t="inlineStr">
        <is>
          <t xml:space="preserve">Маяковского, 46</t>
        </is>
      </c>
      <c r="C537" t="inlineStr">
        <is>
          <t xml:space="preserve">Билборд</t>
        </is>
      </c>
      <c r="D537" t="inlineStr">
        <is>
          <t xml:space="preserve">6×3</t>
        </is>
      </c>
      <c r="E537" t="inlineStr">
        <is>
          <t xml:space="preserve">A, B</t>
        </is>
      </c>
      <c r="F537" s="2" t="str">
        <f>HYPERLINK("https://yandex.ru/maps/?pt=73.393261,54.971022&amp;z=17","открыть")</f>
        <v>открыть</v>
      </c>
      <c r="G537" s="2" t="str">
        <f>HYPERLINK("https://mediafasadomsk.com/surfaces/bb-mayakovskogo-ul-46-a-900.jpg","смотреть")</f>
        <v>смотреть</v>
      </c>
      <c r="H537">
        <v>54.971022</v>
      </c>
      <c r="I537">
        <v>73.393261</v>
      </c>
    </row>
    <row r="538">
      <c r="A538">
        <v>537</v>
      </c>
      <c r="B538" t="inlineStr">
        <is>
          <t xml:space="preserve">Маяковского, 52 (у пересечения с улицей Куйбышева, светофор)</t>
        </is>
      </c>
      <c r="C538" t="inlineStr">
        <is>
          <t xml:space="preserve">Билборд</t>
        </is>
      </c>
      <c r="D538" t="inlineStr">
        <is>
          <t xml:space="preserve">6×3</t>
        </is>
      </c>
      <c r="E538" t="inlineStr">
        <is>
          <t xml:space="preserve">A, B</t>
        </is>
      </c>
      <c r="F538" s="2" t="str">
        <f>HYPERLINK("https://yandex.ru/maps/?pt=73.3991,54.971500000000006&amp;z=17","открыть")</f>
        <v>открыть</v>
      </c>
      <c r="G538" s="2" t="str">
        <f>HYPERLINK("https://mediafasadomsk.com/surfaces/bb-mayakovskogo-ul-52-h-s-ul-kujbysheva-svetofor-a-900.jpg","смотреть")</f>
        <v>смотреть</v>
      </c>
      <c r="H538">
        <v>54.971500000000006</v>
      </c>
      <c r="I538">
        <v>73.3991</v>
      </c>
    </row>
    <row r="539">
      <c r="A539">
        <v>538</v>
      </c>
      <c r="B539" t="inlineStr">
        <is>
          <t xml:space="preserve">Маяковского, 6/1 (у пересечения с улицей Пушкина, светофор)</t>
        </is>
      </c>
      <c r="C539" t="inlineStr">
        <is>
          <t xml:space="preserve">Билборд</t>
        </is>
      </c>
      <c r="D539" t="inlineStr">
        <is>
          <t xml:space="preserve">6×3</t>
        </is>
      </c>
      <c r="E539" t="inlineStr">
        <is>
          <t xml:space="preserve">A, B</t>
        </is>
      </c>
      <c r="F539" s="2" t="str">
        <f>HYPERLINK("https://yandex.ru/maps/?pt=73.38731971492915,54.97079185165293&amp;z=17","открыть")</f>
        <v>открыть</v>
      </c>
      <c r="G539" s="2" t="str">
        <f>HYPERLINK("https://mediafasadomsk.com/surfaces/bb-mayakovskogo-ul-6-1-h-s-ul-pushkina-svetofor-a-900.jpg","смотреть")</f>
        <v>смотреть</v>
      </c>
      <c r="H539">
        <v>54.97079185165293</v>
      </c>
      <c r="I539">
        <v>73.38731971492915</v>
      </c>
    </row>
    <row r="540">
      <c r="A540">
        <v>539</v>
      </c>
      <c r="B540" t="inlineStr">
        <is>
          <t xml:space="preserve">Маяковского, 64 (светофор)</t>
        </is>
      </c>
      <c r="C540" t="inlineStr">
        <is>
          <t xml:space="preserve">Билборд</t>
        </is>
      </c>
      <c r="D540" t="inlineStr">
        <is>
          <t xml:space="preserve">6×3</t>
        </is>
      </c>
      <c r="E540" t="inlineStr">
        <is>
          <t xml:space="preserve">A, B</t>
        </is>
      </c>
      <c r="F540" s="2" t="str">
        <f>HYPERLINK("https://yandex.ru/maps/?pt=73.40059600000002,54.971588999999994&amp;z=17","открыть")</f>
        <v>открыть</v>
      </c>
      <c r="G540" s="2" t="str">
        <f>HYPERLINK("https://mediafasadomsk.com/surfaces/bb-mayakovskogo-ul-64-svetofor-a-900.jpg","смотреть")</f>
        <v>смотреть</v>
      </c>
      <c r="H540">
        <v>54.971588999999994</v>
      </c>
      <c r="I540">
        <v>73.40059600000002</v>
      </c>
    </row>
    <row r="541">
      <c r="A541">
        <v>540</v>
      </c>
      <c r="B541" t="inlineStr">
        <is>
          <t xml:space="preserve">Маяковского, 65 (светофор)</t>
        </is>
      </c>
      <c r="C541" t="inlineStr">
        <is>
          <t xml:space="preserve">Билборд</t>
        </is>
      </c>
      <c r="D541" t="inlineStr">
        <is>
          <t xml:space="preserve">6×3</t>
        </is>
      </c>
      <c r="E541" t="inlineStr">
        <is>
          <t xml:space="preserve">A</t>
        </is>
      </c>
      <c r="F541" s="2" t="str">
        <f>HYPERLINK("https://yandex.ru/maps/?pt=73.39521134413278,54.971403568751&amp;z=17","открыть")</f>
        <v>открыть</v>
      </c>
      <c r="G541" s="2" t="str">
        <f>HYPERLINK("https://mediafasadomsk.com/surfaces/bb-mayakovskogo-ul-65-svetofor-a-900.jpg","смотреть")</f>
        <v>смотреть</v>
      </c>
      <c r="H541">
        <v>54.971403568751</v>
      </c>
      <c r="I541">
        <v>73.39521134413278</v>
      </c>
    </row>
    <row r="542">
      <c r="A542">
        <v>541</v>
      </c>
      <c r="B542" t="inlineStr">
        <is>
          <t xml:space="preserve">Маяковского, 65 (светофор)</t>
        </is>
      </c>
      <c r="C542" t="inlineStr">
        <is>
          <t xml:space="preserve">Призматрон</t>
        </is>
      </c>
      <c r="D542" t="inlineStr">
        <is>
          <t xml:space="preserve">6×3</t>
        </is>
      </c>
      <c r="E542" t="inlineStr">
        <is>
          <t xml:space="preserve">B1</t>
        </is>
      </c>
      <c r="F542" s="2" t="str">
        <f>HYPERLINK("https://yandex.ru/maps/?pt=73.39521134413278,54.971403568751&amp;z=17","открыть")</f>
        <v>открыть</v>
      </c>
      <c r="G542" s="2" t="str">
        <f>HYPERLINK("https://mediafasadomsk.com/surfaces/bb-mayakovskogo-ul-65-svetofor-b1-a-900.jpg","смотреть")</f>
        <v>смотреть</v>
      </c>
      <c r="H542">
        <v>54.971403568751</v>
      </c>
      <c r="I542">
        <v>73.39521134413278</v>
      </c>
    </row>
    <row r="543">
      <c r="A543">
        <v>542</v>
      </c>
      <c r="B543" t="inlineStr">
        <is>
          <t xml:space="preserve">Маяковского, 67 (у пересечения с улицей Куйбышева, светофор)</t>
        </is>
      </c>
      <c r="C543" t="inlineStr">
        <is>
          <t xml:space="preserve">Билборд</t>
        </is>
      </c>
      <c r="D543" t="inlineStr">
        <is>
          <t xml:space="preserve">6×3</t>
        </is>
      </c>
      <c r="E543" t="inlineStr">
        <is>
          <t xml:space="preserve">A, B</t>
        </is>
      </c>
      <c r="F543" s="2" t="str">
        <f>HYPERLINK("https://yandex.ru/maps/?pt=73.39900000000011,54.971700000000006&amp;z=17","открыть")</f>
        <v>открыть</v>
      </c>
      <c r="G543" s="2" t="str">
        <f>HYPERLINK("https://mediafasadomsk.com/surfaces/bb-mayakovskogo-ul-67-h-s-ul-kujbysheva-svetofor-a-900.jpg","смотреть")</f>
        <v>смотреть</v>
      </c>
      <c r="H543">
        <v>54.971700000000006</v>
      </c>
      <c r="I543">
        <v>73.39900000000011</v>
      </c>
    </row>
    <row r="544">
      <c r="A544">
        <v>543</v>
      </c>
      <c r="B544" t="inlineStr">
        <is>
          <t xml:space="preserve">Маяковского, 82</t>
        </is>
      </c>
      <c r="C544" t="inlineStr">
        <is>
          <t xml:space="preserve">Билборд</t>
        </is>
      </c>
      <c r="D544" t="inlineStr">
        <is>
          <t xml:space="preserve">6×3</t>
        </is>
      </c>
      <c r="E544" t="inlineStr">
        <is>
          <t xml:space="preserve">A, B</t>
        </is>
      </c>
      <c r="F544" s="2" t="str">
        <f>HYPERLINK("https://yandex.ru/maps/?pt=73.40760000000003,54.97200000000001&amp;z=17","открыть")</f>
        <v>открыть</v>
      </c>
      <c r="G544" s="2" t="str">
        <f>HYPERLINK("https://mediafasadomsk.com/surfaces/bb-mayakovskogo-ul-82-a-900.jpg","смотреть")</f>
        <v>смотреть</v>
      </c>
      <c r="H544">
        <v>54.97200000000001</v>
      </c>
      <c r="I544">
        <v>73.40760000000003</v>
      </c>
    </row>
    <row r="545">
      <c r="A545">
        <v>544</v>
      </c>
      <c r="B545" t="inlineStr">
        <is>
          <t xml:space="preserve">Маяковского, 83 (напротив), Линия 5-я</t>
        </is>
      </c>
      <c r="C545" t="inlineStr">
        <is>
          <t xml:space="preserve">Билборд</t>
        </is>
      </c>
      <c r="D545" t="inlineStr">
        <is>
          <t xml:space="preserve">6×3</t>
        </is>
      </c>
      <c r="E545" t="inlineStr">
        <is>
          <t xml:space="preserve">A, B</t>
        </is>
      </c>
      <c r="F545" s="2" t="str">
        <f>HYPERLINK("https://yandex.ru/maps/?pt=73.404888,54.971851&amp;z=17","открыть")</f>
        <v>открыть</v>
      </c>
      <c r="G545" s="2" t="str">
        <f>HYPERLINK("https://mediafasadomsk.com/surfaces/bb-mayakovskogo-ul-83-naprotiv-liniya-5-ya-ul-a-900.jpg","смотреть")</f>
        <v>смотреть</v>
      </c>
      <c r="H545">
        <v>54.971851</v>
      </c>
      <c r="I545">
        <v>73.404888</v>
      </c>
    </row>
    <row r="546">
      <c r="A546">
        <v>545</v>
      </c>
      <c r="B546" t="inlineStr">
        <is>
          <t xml:space="preserve">Маяковского, 83 (светофор)</t>
        </is>
      </c>
      <c r="C546" t="inlineStr">
        <is>
          <t xml:space="preserve">Билборд</t>
        </is>
      </c>
      <c r="D546" t="inlineStr">
        <is>
          <t xml:space="preserve">6×3</t>
        </is>
      </c>
      <c r="E546" t="inlineStr">
        <is>
          <t xml:space="preserve">A, B</t>
        </is>
      </c>
      <c r="F546" s="2" t="str">
        <f>HYPERLINK("https://yandex.ru/maps/?pt=73.4040084194184,54.97189109430713&amp;z=17","открыть")</f>
        <v>открыть</v>
      </c>
      <c r="G546" s="2" t="str">
        <f>HYPERLINK("https://mediafasadomsk.com/surfaces/bb-mayakovskogo-ul-83-svetofor-a-900.jpg","смотреть")</f>
        <v>смотреть</v>
      </c>
      <c r="H546">
        <v>54.97189109430713</v>
      </c>
      <c r="I546">
        <v>73.4040084194184</v>
      </c>
    </row>
    <row r="547">
      <c r="A547">
        <v>546</v>
      </c>
      <c r="B547" t="inlineStr">
        <is>
          <t xml:space="preserve">Маяковского, 85 (светофор)</t>
        </is>
      </c>
      <c r="C547" t="inlineStr">
        <is>
          <t xml:space="preserve">Билборд</t>
        </is>
      </c>
      <c r="D547" t="inlineStr">
        <is>
          <t xml:space="preserve">6×3</t>
        </is>
      </c>
      <c r="E547" t="inlineStr">
        <is>
          <t xml:space="preserve">A, B</t>
        </is>
      </c>
      <c r="F547" s="2" t="str">
        <f>HYPERLINK("https://yandex.ru/maps/?pt=73.4046999999999,54.97200000000001&amp;z=17","открыть")</f>
        <v>открыть</v>
      </c>
      <c r="G547" s="2" t="str">
        <f>HYPERLINK("https://mediafasadomsk.com/surfaces/bb-mayakovskogo-ul-85-svetofor-a-900.jpg","смотреть")</f>
        <v>смотреть</v>
      </c>
      <c r="H547">
        <v>54.97200000000001</v>
      </c>
      <c r="I547">
        <v>73.4046999999999</v>
      </c>
    </row>
    <row r="548">
      <c r="A548">
        <v>547</v>
      </c>
      <c r="B548" t="inlineStr">
        <is>
          <t xml:space="preserve">Маяковского, 86Б (светофор)</t>
        </is>
      </c>
      <c r="C548" t="inlineStr">
        <is>
          <t xml:space="preserve">Билборд</t>
        </is>
      </c>
      <c r="D548" t="inlineStr">
        <is>
          <t xml:space="preserve">6×3</t>
        </is>
      </c>
      <c r="E548" t="inlineStr">
        <is>
          <t xml:space="preserve">A, B</t>
        </is>
      </c>
      <c r="F548" s="2" t="str">
        <f>HYPERLINK("https://yandex.ru/maps/?pt=73.41037399272918,54.97218619117656&amp;z=17","открыть")</f>
        <v>открыть</v>
      </c>
      <c r="G548" s="2" t="str">
        <f>HYPERLINK("https://mediafasadomsk.com/surfaces/bb-mayakovskogo-ul-86b-svetofor-a-900.jpg","смотреть")</f>
        <v>смотреть</v>
      </c>
      <c r="H548">
        <v>54.97218619117656</v>
      </c>
      <c r="I548">
        <v>73.41037399272918</v>
      </c>
    </row>
    <row r="549">
      <c r="A549">
        <v>548</v>
      </c>
      <c r="B549" t="inlineStr">
        <is>
          <t xml:space="preserve">Маяковского, 87А (светофор)</t>
        </is>
      </c>
      <c r="C549" t="inlineStr">
        <is>
          <t xml:space="preserve">Билборд</t>
        </is>
      </c>
      <c r="D549" t="inlineStr">
        <is>
          <t xml:space="preserve">6×3</t>
        </is>
      </c>
      <c r="E549" t="inlineStr">
        <is>
          <t xml:space="preserve">A, B</t>
        </is>
      </c>
      <c r="F549" s="2" t="str">
        <f>HYPERLINK("https://yandex.ru/maps/?pt=73.40619999999991,54.97210000000001&amp;z=17","открыть")</f>
        <v>открыть</v>
      </c>
      <c r="G549" s="2" t="str">
        <f>HYPERLINK("https://mediafasadomsk.com/surfaces/bb-mayakovskogo-ul-87a-svetofor-a-900.jpg","смотреть")</f>
        <v>смотреть</v>
      </c>
      <c r="H549">
        <v>54.97210000000001</v>
      </c>
      <c r="I549">
        <v>73.40619999999991</v>
      </c>
    </row>
    <row r="550">
      <c r="A550">
        <v>549</v>
      </c>
      <c r="B550" t="inlineStr">
        <is>
          <t xml:space="preserve">Маяковского ул., 95 - Линия 8-я ул.4</t>
        </is>
      </c>
      <c r="C550" t="inlineStr">
        <is>
          <t xml:space="preserve">Билборд</t>
        </is>
      </c>
      <c r="D550" t="inlineStr">
        <is>
          <t xml:space="preserve">6×3</t>
        </is>
      </c>
      <c r="E550" t="inlineStr">
        <is>
          <t xml:space="preserve">A, B</t>
        </is>
      </c>
      <c r="F550" s="2" t="str">
        <f>HYPERLINK("https://yandex.ru/maps/?pt=73.408307,54.972212&amp;z=17","открыть")</f>
        <v>открыть</v>
      </c>
      <c r="G550" s="2" t="str">
        <f>HYPERLINK("https://mediafasadomsk.com/surfaces/bb-mayakovskogo-ul-95-liniya-8-ya-ul-4-a-900.jpg","смотреть")</f>
        <v>смотреть</v>
      </c>
      <c r="H550">
        <v>54.972212</v>
      </c>
      <c r="I550">
        <v>73.408307</v>
      </c>
    </row>
    <row r="551">
      <c r="A551">
        <v>550</v>
      </c>
      <c r="B551" t="inlineStr">
        <is>
          <t xml:space="preserve">Мельничная, 102 (светофор)</t>
        </is>
      </c>
      <c r="C551" t="inlineStr">
        <is>
          <t xml:space="preserve">Билборд</t>
        </is>
      </c>
      <c r="D551" t="inlineStr">
        <is>
          <t xml:space="preserve">6×3</t>
        </is>
      </c>
      <c r="E551" t="inlineStr">
        <is>
          <t xml:space="preserve">A, B</t>
        </is>
      </c>
      <c r="F551" s="2" t="str">
        <f>HYPERLINK("https://yandex.ru/maps/?pt=73.31380295122375,54.913057610843836&amp;z=17","открыть")</f>
        <v>открыть</v>
      </c>
      <c r="G551" s="2" t="str">
        <f>HYPERLINK("https://mediafasadomsk.com/surfaces/bb-melnichnaya-ul-102-svetofor-a-900.jpg","смотреть")</f>
        <v>смотреть</v>
      </c>
      <c r="H551">
        <v>54.913057610843836</v>
      </c>
      <c r="I551">
        <v>73.31380295122375</v>
      </c>
    </row>
    <row r="552">
      <c r="A552">
        <v>551</v>
      </c>
      <c r="B552" t="inlineStr">
        <is>
          <t xml:space="preserve">Мельничная, напротив дома 104</t>
        </is>
      </c>
      <c r="C552" t="inlineStr">
        <is>
          <t xml:space="preserve">Билборд</t>
        </is>
      </c>
      <c r="D552" t="inlineStr">
        <is>
          <t xml:space="preserve">6×3</t>
        </is>
      </c>
      <c r="E552" t="inlineStr">
        <is>
          <t xml:space="preserve">A, B</t>
        </is>
      </c>
      <c r="F552" s="2" t="str">
        <f>HYPERLINK("https://yandex.ru/maps/?pt=73.314208,54.913163&amp;z=17","открыть")</f>
        <v>открыть</v>
      </c>
      <c r="G552" s="2" t="str">
        <f>HYPERLINK("https://mediafasadomsk.com/surfaces/bb-melnichnaya-ul-104-naprotiv-a-900.jpg","смотреть")</f>
        <v>смотреть</v>
      </c>
      <c r="H552">
        <v>54.913163</v>
      </c>
      <c r="I552">
        <v>73.314208</v>
      </c>
    </row>
    <row r="553">
      <c r="A553">
        <v>552</v>
      </c>
      <c r="B553" t="inlineStr">
        <is>
          <t xml:space="preserve">Мельничная, 118</t>
        </is>
      </c>
      <c r="C553" t="inlineStr">
        <is>
          <t xml:space="preserve">Билборд</t>
        </is>
      </c>
      <c r="D553" t="inlineStr">
        <is>
          <t xml:space="preserve">6×3</t>
        </is>
      </c>
      <c r="E553" t="inlineStr">
        <is>
          <t xml:space="preserve">A, B</t>
        </is>
      </c>
      <c r="F553" s="2" t="str">
        <f>HYPERLINK("https://yandex.ru/maps/?pt=73.31197,54.910034&amp;z=17","открыть")</f>
        <v>открыть</v>
      </c>
      <c r="G553" s="2" t="str">
        <f>HYPERLINK("https://mediafasadomsk.com/surfaces/bb-melnichnaya-ul-118-a-900.jpg","смотреть")</f>
        <v>смотреть</v>
      </c>
      <c r="H553">
        <v>54.910034</v>
      </c>
      <c r="I553">
        <v>73.31197</v>
      </c>
    </row>
    <row r="554">
      <c r="A554">
        <v>553</v>
      </c>
      <c r="B554" t="inlineStr">
        <is>
          <t xml:space="preserve">Мельничная, 126А-128, пересечение с улицей Казахстанская 1-я (светофор)</t>
        </is>
      </c>
      <c r="C554" t="inlineStr">
        <is>
          <t xml:space="preserve">Билборд</t>
        </is>
      </c>
      <c r="D554" t="inlineStr">
        <is>
          <t xml:space="preserve">6×3</t>
        </is>
      </c>
      <c r="E554" t="inlineStr">
        <is>
          <t xml:space="preserve">A, B</t>
        </is>
      </c>
      <c r="F554" s="2" t="str">
        <f>HYPERLINK("https://yandex.ru/maps/?pt=73.31090582076126,54.90774661548235&amp;z=17","открыть")</f>
        <v>открыть</v>
      </c>
      <c r="G554" s="2" t="str">
        <f>HYPERLINK("https://mediafasadomsk.com/surfaces/bb-melnichnaya-ul-126a-128-h-s-ul-kazahstanskaya-1-ya-svetofor-a-900.jpg","смотреть")</f>
        <v>смотреть</v>
      </c>
      <c r="H554">
        <v>54.90774661548235</v>
      </c>
      <c r="I554">
        <v>73.31090582076126</v>
      </c>
    </row>
    <row r="555">
      <c r="A555">
        <v>554</v>
      </c>
      <c r="B555" t="inlineStr">
        <is>
          <t xml:space="preserve">Мельничная, 128Б, пересечение с улицей Казахстанская 2-я</t>
        </is>
      </c>
      <c r="C555" t="inlineStr">
        <is>
          <t xml:space="preserve">Билборд</t>
        </is>
      </c>
      <c r="D555" t="inlineStr">
        <is>
          <t xml:space="preserve">6×3</t>
        </is>
      </c>
      <c r="E555" t="inlineStr">
        <is>
          <t xml:space="preserve">A, B</t>
        </is>
      </c>
      <c r="F555" s="2" t="str">
        <f>HYPERLINK("https://yandex.ru/maps/?pt=73.30958459936058,54.90548898937153&amp;z=17","открыть")</f>
        <v>открыть</v>
      </c>
      <c r="G555" s="2" t="str">
        <f>HYPERLINK("https://mediafasadomsk.com/surfaces/bb-melnichnaya-ul-128b-h-s-ul-kazahstanskaya-2-ya-a-900.jpg","смотреть")</f>
        <v>смотреть</v>
      </c>
      <c r="H555">
        <v>54.90548898937153</v>
      </c>
      <c r="I555">
        <v>73.30958459936058</v>
      </c>
    </row>
    <row r="556">
      <c r="A556">
        <v>555</v>
      </c>
      <c r="B556" t="inlineStr">
        <is>
          <t xml:space="preserve">Мельничная, 134</t>
        </is>
      </c>
      <c r="C556" t="inlineStr">
        <is>
          <t xml:space="preserve">Билборд</t>
        </is>
      </c>
      <c r="D556" t="inlineStr">
        <is>
          <t xml:space="preserve">6×3</t>
        </is>
      </c>
      <c r="E556" t="inlineStr">
        <is>
          <t xml:space="preserve">A, B</t>
        </is>
      </c>
      <c r="F556" s="2" t="str">
        <f>HYPERLINK("https://yandex.ru/maps/?pt=73.305997,54.899307&amp;z=17","открыть")</f>
        <v>открыть</v>
      </c>
      <c r="G556" s="2" t="str">
        <f>HYPERLINK("https://mediafasadomsk.com/surfaces/bb-melnichnaya-ul-134-a-900.jpg","смотреть")</f>
        <v>смотреть</v>
      </c>
      <c r="H556">
        <v>54.899307</v>
      </c>
      <c r="I556">
        <v>73.305997</v>
      </c>
    </row>
    <row r="557">
      <c r="A557">
        <v>556</v>
      </c>
      <c r="B557" t="inlineStr">
        <is>
          <t xml:space="preserve">Мельничная, 140</t>
        </is>
      </c>
      <c r="C557" t="inlineStr">
        <is>
          <t xml:space="preserve">Билборд</t>
        </is>
      </c>
      <c r="D557" t="inlineStr">
        <is>
          <t xml:space="preserve">6×3</t>
        </is>
      </c>
      <c r="E557" t="inlineStr">
        <is>
          <t xml:space="preserve">A, B</t>
        </is>
      </c>
      <c r="F557" s="2" t="str">
        <f>HYPERLINK("https://yandex.ru/maps/?pt=73.30475317790966,54.89640917609842&amp;z=17","открыть")</f>
        <v>открыть</v>
      </c>
      <c r="G557" s="2" t="str">
        <f>HYPERLINK("https://mediafasadomsk.com/surfaces/bb-melnichnaya-ul-140-a-900.jpg","смотреть")</f>
        <v>смотреть</v>
      </c>
      <c r="H557">
        <v>54.89640917609842</v>
      </c>
      <c r="I557">
        <v>73.30475317790966</v>
      </c>
    </row>
    <row r="558">
      <c r="A558">
        <v>557</v>
      </c>
      <c r="B558" t="inlineStr">
        <is>
          <t xml:space="preserve">Мельничная, 4</t>
        </is>
      </c>
      <c r="C558" t="inlineStr">
        <is>
          <t xml:space="preserve">Билборд</t>
        </is>
      </c>
      <c r="D558" t="inlineStr">
        <is>
          <t xml:space="preserve">6×3</t>
        </is>
      </c>
      <c r="E558" t="inlineStr">
        <is>
          <t xml:space="preserve">A, B</t>
        </is>
      </c>
      <c r="F558" s="2" t="str">
        <f>HYPERLINK("https://yandex.ru/maps/?pt=73.324058,54.932102&amp;z=17","открыть")</f>
        <v>открыть</v>
      </c>
      <c r="G558" s="2" t="str">
        <f>HYPERLINK("https://mediafasadomsk.com/surfaces/bb-melnichnaya-ul-4-a-900.jpg","смотреть")</f>
        <v>смотреть</v>
      </c>
      <c r="H558">
        <v>54.932102</v>
      </c>
      <c r="I558">
        <v>73.324058</v>
      </c>
    </row>
    <row r="559">
      <c r="A559">
        <v>558</v>
      </c>
      <c r="B559" t="inlineStr">
        <is>
          <t xml:space="preserve">Мельничная, напротив дома 56</t>
        </is>
      </c>
      <c r="C559" t="inlineStr">
        <is>
          <t xml:space="preserve">Билборд</t>
        </is>
      </c>
      <c r="D559" t="inlineStr">
        <is>
          <t xml:space="preserve">6×3</t>
        </is>
      </c>
      <c r="E559" t="inlineStr">
        <is>
          <t xml:space="preserve">A, B</t>
        </is>
      </c>
      <c r="F559" s="2" t="str">
        <f>HYPERLINK("https://yandex.ru/maps/?pt=73.320223,54.925972&amp;z=17","открыть")</f>
        <v>открыть</v>
      </c>
      <c r="G559" s="2" t="str">
        <f>HYPERLINK("https://mediafasadomsk.com/surfaces/bb-melnichnaya-ul-56-naprotiv-a-900.jpg","смотреть")</f>
        <v>смотреть</v>
      </c>
      <c r="H559">
        <v>54.925972</v>
      </c>
      <c r="I559">
        <v>73.320223</v>
      </c>
    </row>
    <row r="560">
      <c r="A560">
        <v>559</v>
      </c>
      <c r="B560" t="inlineStr">
        <is>
          <t xml:space="preserve">Мельничная, 71</t>
        </is>
      </c>
      <c r="C560" t="inlineStr">
        <is>
          <t xml:space="preserve">Билборд</t>
        </is>
      </c>
      <c r="D560" t="inlineStr">
        <is>
          <t xml:space="preserve">6×3</t>
        </is>
      </c>
      <c r="E560" t="inlineStr">
        <is>
          <t xml:space="preserve">A, B</t>
        </is>
      </c>
      <c r="F560" s="2" t="str">
        <f>HYPERLINK("https://yandex.ru/maps/?pt=73.316648,54.916385&amp;z=17","открыть")</f>
        <v>открыть</v>
      </c>
      <c r="G560" s="2" t="str">
        <f>HYPERLINK("https://mediafasadomsk.com/surfaces/bb-melnichnaya-ul-71-a-900.jpg","смотреть")</f>
        <v>смотреть</v>
      </c>
      <c r="H560">
        <v>54.916385</v>
      </c>
      <c r="I560">
        <v>73.316648</v>
      </c>
    </row>
    <row r="561">
      <c r="A561">
        <v>560</v>
      </c>
      <c r="B561" t="inlineStr">
        <is>
          <t xml:space="preserve">Мельничная, 87/4 (светофор)</t>
        </is>
      </c>
      <c r="C561" t="inlineStr">
        <is>
          <t xml:space="preserve">Билборд</t>
        </is>
      </c>
      <c r="D561" t="inlineStr">
        <is>
          <t xml:space="preserve">6×3</t>
        </is>
      </c>
      <c r="E561" t="inlineStr">
        <is>
          <t xml:space="preserve">A, B</t>
        </is>
      </c>
      <c r="F561" s="2" t="str">
        <f>HYPERLINK("https://yandex.ru/maps/?pt=73.31146908465595,54.90845591365213&amp;z=17","открыть")</f>
        <v>открыть</v>
      </c>
      <c r="G561" s="2" t="str">
        <f>HYPERLINK("https://mediafasadomsk.com/surfaces/bb-melnichnaya-ul-87-4-svetofor-a-900.jpg","смотреть")</f>
        <v>смотреть</v>
      </c>
      <c r="H561">
        <v>54.90845591365213</v>
      </c>
      <c r="I561">
        <v>73.31146908465595</v>
      </c>
    </row>
    <row r="562">
      <c r="A562">
        <v>561</v>
      </c>
      <c r="B562" t="inlineStr">
        <is>
          <t xml:space="preserve">Мельничная, 89 (светофор)</t>
        </is>
      </c>
      <c r="C562" t="inlineStr">
        <is>
          <t xml:space="preserve">Билборд</t>
        </is>
      </c>
      <c r="D562" t="inlineStr">
        <is>
          <t xml:space="preserve">6×3</t>
        </is>
      </c>
      <c r="E562" t="inlineStr">
        <is>
          <t xml:space="preserve">A, B</t>
        </is>
      </c>
      <c r="F562" s="2" t="str">
        <f>HYPERLINK("https://yandex.ru/maps/?pt=73.31079755554495,54.90723004887616&amp;z=17","открыть")</f>
        <v>открыть</v>
      </c>
      <c r="G562" s="2" t="str">
        <f>HYPERLINK("https://mediafasadomsk.com/surfaces/bb-melnichnaya-ul-89-svetofor-a-900.jpg","смотреть")</f>
        <v>смотреть</v>
      </c>
      <c r="H562">
        <v>54.90723004887616</v>
      </c>
      <c r="I562">
        <v>73.31079755554495</v>
      </c>
    </row>
    <row r="563">
      <c r="A563">
        <v>562</v>
      </c>
      <c r="B563" t="inlineStr">
        <is>
          <t xml:space="preserve">Мельничная, 89/7</t>
        </is>
      </c>
      <c r="C563" t="inlineStr">
        <is>
          <t xml:space="preserve">Билборд</t>
        </is>
      </c>
      <c r="D563" t="inlineStr">
        <is>
          <t xml:space="preserve">6×3</t>
        </is>
      </c>
      <c r="E563" t="inlineStr">
        <is>
          <t xml:space="preserve">A, B</t>
        </is>
      </c>
      <c r="F563" s="2" t="str">
        <f>HYPERLINK("https://yandex.ru/maps/?pt=73.31262779894936,54.91059918470029&amp;z=17","открыть")</f>
        <v>открыть</v>
      </c>
      <c r="G563" s="2" t="str">
        <f>HYPERLINK("https://mediafasadomsk.com/surfaces/bb-melnichnaya-ul-89k7-a-900.jpg","смотреть")</f>
        <v>смотреть</v>
      </c>
      <c r="H563">
        <v>54.91059918470029</v>
      </c>
      <c r="I563">
        <v>73.31262779894936</v>
      </c>
    </row>
    <row r="564">
      <c r="A564">
        <v>563</v>
      </c>
      <c r="B564" t="inlineStr">
        <is>
          <t xml:space="preserve">Мельничная, 9, пересечение с улицей Бетховена</t>
        </is>
      </c>
      <c r="C564" t="inlineStr">
        <is>
          <t xml:space="preserve">Билборд</t>
        </is>
      </c>
      <c r="D564" t="inlineStr">
        <is>
          <t xml:space="preserve">6×3</t>
        </is>
      </c>
      <c r="E564" t="inlineStr">
        <is>
          <t xml:space="preserve">A, B</t>
        </is>
      </c>
      <c r="F564" s="2" t="str">
        <f>HYPERLINK("https://yandex.ru/maps/?pt=73.32473099999976,54.93261399999998&amp;z=17","открыть")</f>
        <v>открыть</v>
      </c>
      <c r="G564" s="2" t="str">
        <f>HYPERLINK("https://mediafasadomsk.com/surfaces/bb-melnichnaya-ul-9-h-s-ul-bethovena-a-900.jpg","смотреть")</f>
        <v>смотреть</v>
      </c>
      <c r="H564">
        <v>54.93261399999998</v>
      </c>
      <c r="I564">
        <v>73.32473099999976</v>
      </c>
    </row>
    <row r="565">
      <c r="A565">
        <v>564</v>
      </c>
      <c r="B565" t="inlineStr">
        <is>
          <t xml:space="preserve">Проспект Менделеева, напротив дома 11/14Б</t>
        </is>
      </c>
      <c r="C565" t="inlineStr">
        <is>
          <t xml:space="preserve">Цифровой билборд</t>
        </is>
      </c>
      <c r="D565" t="inlineStr">
        <is>
          <t xml:space="preserve">6×3</t>
        </is>
      </c>
      <c r="E565" t="inlineStr">
        <is>
          <t xml:space="preserve">A</t>
        </is>
      </c>
      <c r="F565" s="2" t="str">
        <f>HYPERLINK("https://yandex.ru/maps/?pt=73.315315,55.045053&amp;z=17","открыть")</f>
        <v>открыть</v>
      </c>
      <c r="G565" s="2" t="str">
        <f>HYPERLINK("https://mediafasadomsk.com/surfaces/bb-mendeleeva-pr-11-14b-naprotiv-a-900.jpg","смотреть")</f>
        <v>смотреть</v>
      </c>
      <c r="H565">
        <v>55.045053</v>
      </c>
      <c r="I565">
        <v>73.315315</v>
      </c>
    </row>
    <row r="566">
      <c r="A566">
        <v>565</v>
      </c>
      <c r="B566" t="inlineStr">
        <is>
          <t xml:space="preserve">Проспект Менделеева, напротив дома 11/14Б</t>
        </is>
      </c>
      <c r="C566" t="inlineStr">
        <is>
          <t xml:space="preserve">Билборд</t>
        </is>
      </c>
      <c r="D566" t="inlineStr">
        <is>
          <t xml:space="preserve">6×3</t>
        </is>
      </c>
      <c r="E566" t="inlineStr">
        <is>
          <t xml:space="preserve">B</t>
        </is>
      </c>
      <c r="F566" s="2" t="str">
        <f>HYPERLINK("https://yandex.ru/maps/?pt=73.315315,55.045053&amp;z=17","открыть")</f>
        <v>открыть</v>
      </c>
      <c r="G566" s="2" t="str">
        <f>HYPERLINK("https://mediafasadomsk.com/surfaces/bb-mendeleeva-pr-11-14b-naprotiv-b-a-900.jpg","смотреть")</f>
        <v>смотреть</v>
      </c>
      <c r="H566">
        <v>55.045053</v>
      </c>
      <c r="I566">
        <v>73.315315</v>
      </c>
    </row>
    <row r="567">
      <c r="A567">
        <v>566</v>
      </c>
      <c r="B567" t="inlineStr">
        <is>
          <t xml:space="preserve">Проспект Менделеева, 19/2</t>
        </is>
      </c>
      <c r="C567" t="inlineStr">
        <is>
          <t xml:space="preserve">Билборд</t>
        </is>
      </c>
      <c r="D567" t="inlineStr">
        <is>
          <t xml:space="preserve">6×3</t>
        </is>
      </c>
      <c r="E567" t="inlineStr">
        <is>
          <t xml:space="preserve">A, B</t>
        </is>
      </c>
      <c r="F567" s="2" t="str">
        <f>HYPERLINK("https://yandex.ru/maps/?pt=73.3097,55.04638&amp;z=17","открыть")</f>
        <v>открыть</v>
      </c>
      <c r="G567" s="2" t="str">
        <f>HYPERLINK("https://mediafasadomsk.com/surfaces/bb-mendeleeva-pr-19-2-a-900.jpg","смотреть")</f>
        <v>смотреть</v>
      </c>
      <c r="H567">
        <v>55.04638</v>
      </c>
      <c r="I567">
        <v>73.3097</v>
      </c>
    </row>
    <row r="568">
      <c r="A568">
        <v>567</v>
      </c>
      <c r="B568" t="inlineStr">
        <is>
          <t xml:space="preserve">Проспект Менделеева, 3</t>
        </is>
      </c>
      <c r="C568" t="inlineStr">
        <is>
          <t xml:space="preserve">Билборд</t>
        </is>
      </c>
      <c r="D568" t="inlineStr">
        <is>
          <t xml:space="preserve">6×3</t>
        </is>
      </c>
      <c r="E568" t="inlineStr">
        <is>
          <t xml:space="preserve">A, B</t>
        </is>
      </c>
      <c r="F568" s="2" t="str">
        <f>HYPERLINK("https://yandex.ru/maps/?pt=73.299678,55.047404&amp;z=17","открыть")</f>
        <v>открыть</v>
      </c>
      <c r="G568" s="2" t="str">
        <f>HYPERLINK("https://mediafasadomsk.com/surfaces/bb-mendeleeva-pr-3-a-900.jpg","смотреть")</f>
        <v>смотреть</v>
      </c>
      <c r="H568">
        <v>55.047404</v>
      </c>
      <c r="I568">
        <v>73.299678</v>
      </c>
    </row>
    <row r="569">
      <c r="A569">
        <v>568</v>
      </c>
      <c r="B569" t="inlineStr">
        <is>
          <t xml:space="preserve">Проспект Менделеева, 14/1 (светофор)</t>
        </is>
      </c>
      <c r="C569" t="inlineStr">
        <is>
          <t xml:space="preserve">Билборд</t>
        </is>
      </c>
      <c r="D569" t="inlineStr">
        <is>
          <t xml:space="preserve">6×3</t>
        </is>
      </c>
      <c r="E569" t="inlineStr">
        <is>
          <t xml:space="preserve">A, B</t>
        </is>
      </c>
      <c r="F569" s="2" t="str">
        <f>HYPERLINK("https://yandex.ru/maps/?pt=73.30861061811432,55.046205158089585&amp;z=17","открыть")</f>
        <v>открыть</v>
      </c>
      <c r="G569" s="2" t="str">
        <f>HYPERLINK("https://mediafasadomsk.com/surfaces/bb-mendeleeva-prospekt-14-1-svetofor-a-900.jpg","смотреть")</f>
        <v>смотреть</v>
      </c>
      <c r="H569">
        <v>55.046205158089585</v>
      </c>
      <c r="I569">
        <v>73.30861061811432</v>
      </c>
    </row>
    <row r="570">
      <c r="A570">
        <v>569</v>
      </c>
      <c r="B570" t="inlineStr">
        <is>
          <t xml:space="preserve">Проспект Менделеева, 2</t>
        </is>
      </c>
      <c r="C570" t="inlineStr">
        <is>
          <t xml:space="preserve">Билборд</t>
        </is>
      </c>
      <c r="D570" t="inlineStr">
        <is>
          <t xml:space="preserve">6×3</t>
        </is>
      </c>
      <c r="E570" t="inlineStr">
        <is>
          <t xml:space="preserve">A, B</t>
        </is>
      </c>
      <c r="F570" s="2" t="str">
        <f>HYPERLINK("https://yandex.ru/maps/?pt=73.29940527668337,55.047251672699375&amp;z=17","открыть")</f>
        <v>открыть</v>
      </c>
      <c r="G570" s="2" t="str">
        <f>HYPERLINK("https://mediafasadomsk.com/surfaces/bb-mendeleeva-prospekt-2-a-900.jpg","смотреть")</f>
        <v>смотреть</v>
      </c>
      <c r="H570">
        <v>55.047251672699375</v>
      </c>
      <c r="I570">
        <v>73.29940527668337</v>
      </c>
    </row>
    <row r="571">
      <c r="A571">
        <v>570</v>
      </c>
      <c r="B571" t="inlineStr">
        <is>
          <t xml:space="preserve">Проспект Менделеева, 5, пересечение с улицей Тимофея Белозерова</t>
        </is>
      </c>
      <c r="C571" t="inlineStr">
        <is>
          <t xml:space="preserve">Билборд</t>
        </is>
      </c>
      <c r="D571" t="inlineStr">
        <is>
          <t xml:space="preserve">6×3</t>
        </is>
      </c>
      <c r="E571" t="inlineStr">
        <is>
          <t xml:space="preserve">A, B</t>
        </is>
      </c>
      <c r="F571" s="2" t="str">
        <f>HYPERLINK("https://yandex.ru/maps/?pt=73.30316036930358,55.04707342107737&amp;z=17","открыть")</f>
        <v>открыть</v>
      </c>
      <c r="G571" s="2" t="str">
        <f>HYPERLINK("https://mediafasadomsk.com/surfaces/bb-mendeleeva-prospekt-5-h-s-ul-timofeya-belozerova-a-900.jpg","смотреть")</f>
        <v>смотреть</v>
      </c>
      <c r="H571">
        <v>55.04707342107737</v>
      </c>
      <c r="I571">
        <v>73.30316036930358</v>
      </c>
    </row>
    <row r="572">
      <c r="A572">
        <v>571</v>
      </c>
      <c r="B572" t="inlineStr">
        <is>
          <t xml:space="preserve">Проспект Менделеева, нечётная сторона, после пересечения с улицей Заозёрная (светофор, ТЦ «Первомайский»)</t>
        </is>
      </c>
      <c r="C572" t="inlineStr">
        <is>
          <t xml:space="preserve">Билборд</t>
        </is>
      </c>
      <c r="D572" t="inlineStr">
        <is>
          <t xml:space="preserve">6×3</t>
        </is>
      </c>
      <c r="E572" t="inlineStr">
        <is>
          <t xml:space="preserve">A, B</t>
        </is>
      </c>
      <c r="F572" s="2" t="str">
        <f>HYPERLINK("https://yandex.ru/maps/?pt=73.31286427283963,55.04581994282717&amp;z=17","открыть")</f>
        <v>открыть</v>
      </c>
      <c r="G572" s="2" t="str">
        <f>HYPERLINK("https://mediafasadomsk.com/surfaces/bb-mendeleeva-prospekt-nechetnaya-storona-posle-h-s-ul-zaozernaya-svetofor-tc-pervomajskij-a-900.jpg","смотреть")</f>
        <v>смотреть</v>
      </c>
      <c r="H572">
        <v>55.04581994282717</v>
      </c>
      <c r="I572">
        <v>73.31286427283963</v>
      </c>
    </row>
    <row r="573">
      <c r="A573">
        <v>572</v>
      </c>
      <c r="B573" t="inlineStr">
        <is>
          <t xml:space="preserve">Проспект Менделеева, 4</t>
        </is>
      </c>
      <c r="C573" t="inlineStr">
        <is>
          <t xml:space="preserve">Билборд</t>
        </is>
      </c>
      <c r="D573" t="inlineStr">
        <is>
          <t xml:space="preserve">6×3</t>
        </is>
      </c>
      <c r="E573" t="inlineStr">
        <is>
          <t xml:space="preserve">A, B</t>
        </is>
      </c>
      <c r="F573" s="2" t="str">
        <f>HYPERLINK("https://yandex.ru/maps/?pt=73.300978,55.04711&amp;z=17","открыть")</f>
        <v>открыть</v>
      </c>
      <c r="G573" s="2" t="str">
        <f>HYPERLINK("https://mediafasadomsk.com/surfaces/bb-mendeleeva-ul-d-4-a-900.jpg","смотреть")</f>
        <v>смотреть</v>
      </c>
      <c r="H573">
        <v>55.04711</v>
      </c>
      <c r="I573">
        <v>73.300978</v>
      </c>
    </row>
    <row r="574">
      <c r="A574">
        <v>573</v>
      </c>
      <c r="B574" t="inlineStr">
        <is>
          <t xml:space="preserve">Проспект Мира, 117</t>
        </is>
      </c>
      <c r="C574" t="inlineStr">
        <is>
          <t xml:space="preserve">Билборд</t>
        </is>
      </c>
      <c r="D574" t="inlineStr">
        <is>
          <t xml:space="preserve">6×3</t>
        </is>
      </c>
      <c r="E574" t="inlineStr">
        <is>
          <t xml:space="preserve">A, B</t>
        </is>
      </c>
      <c r="F574" s="2" t="str">
        <f>HYPERLINK("https://yandex.ru/maps/?pt=73.238598,55.028428&amp;z=17","открыть")</f>
        <v>открыть</v>
      </c>
      <c r="G574" s="2" t="str">
        <f>HYPERLINK("https://mediafasadomsk.com/surfaces/bb-mira-pr-117-a-900.jpg","смотреть")</f>
        <v>смотреть</v>
      </c>
      <c r="H574">
        <v>55.028428</v>
      </c>
      <c r="I574">
        <v>73.238598</v>
      </c>
    </row>
    <row r="575">
      <c r="A575">
        <v>574</v>
      </c>
      <c r="B575" t="inlineStr">
        <is>
          <t xml:space="preserve">Проспект Мира, 61</t>
        </is>
      </c>
      <c r="C575" t="inlineStr">
        <is>
          <t xml:space="preserve">Билборд</t>
        </is>
      </c>
      <c r="D575" t="inlineStr">
        <is>
          <t xml:space="preserve">6×3</t>
        </is>
      </c>
      <c r="E575" t="inlineStr">
        <is>
          <t xml:space="preserve">A, B</t>
        </is>
      </c>
      <c r="F575" s="2" t="str">
        <f>HYPERLINK("https://yandex.ru/maps/?pt=73.257566,55.028771&amp;z=17","открыть")</f>
        <v>открыть</v>
      </c>
      <c r="G575" s="2" t="str">
        <f>HYPERLINK("https://mediafasadomsk.com/surfaces/bb-mira-pr-61-a-900.jpg","смотреть")</f>
        <v>смотреть</v>
      </c>
      <c r="H575">
        <v>55.028771</v>
      </c>
      <c r="I575">
        <v>73.257566</v>
      </c>
    </row>
    <row r="576">
      <c r="A576">
        <v>575</v>
      </c>
      <c r="B576" t="inlineStr">
        <is>
          <t xml:space="preserve">Проспект Мира, 69</t>
        </is>
      </c>
      <c r="C576" t="inlineStr">
        <is>
          <t xml:space="preserve">Билборд</t>
        </is>
      </c>
      <c r="D576" t="inlineStr">
        <is>
          <t xml:space="preserve">6×3</t>
        </is>
      </c>
      <c r="E576" t="inlineStr">
        <is>
          <t xml:space="preserve">A, B</t>
        </is>
      </c>
      <c r="F576" s="2" t="str">
        <f>HYPERLINK("https://yandex.ru/maps/?pt=73.250424,55.028585&amp;z=17","открыть")</f>
        <v>открыть</v>
      </c>
      <c r="G576" s="2" t="str">
        <f>HYPERLINK("https://mediafasadomsk.com/surfaces/bb-mira-pr-69-a-900.jpg","смотреть")</f>
        <v>смотреть</v>
      </c>
      <c r="H576">
        <v>55.028585</v>
      </c>
      <c r="I576">
        <v>73.250424</v>
      </c>
    </row>
    <row r="577">
      <c r="A577">
        <v>576</v>
      </c>
      <c r="B577" t="inlineStr">
        <is>
          <t xml:space="preserve">Проспект Мира, 11/2 (светофор, ТЦ «Терминал»)</t>
        </is>
      </c>
      <c r="C577" t="inlineStr">
        <is>
          <t xml:space="preserve">Цифровой билборд</t>
        </is>
      </c>
      <c r="D577" t="inlineStr">
        <is>
          <t xml:space="preserve">6×3</t>
        </is>
      </c>
      <c r="E577" t="inlineStr">
        <is>
          <t xml:space="preserve">A1, B1</t>
        </is>
      </c>
      <c r="F577" s="2" t="str">
        <f>HYPERLINK("https://yandex.ru/maps/?pt=73.29192996025061,55.02648470637243&amp;z=17","открыть")</f>
        <v>открыть</v>
      </c>
      <c r="G577" s="2" t="str">
        <f>HYPERLINK("https://mediafasadomsk.com/surfaces/bb-mira-prospekt-11-2-svetofor-tc-terminal-a-900.jpg","смотреть")</f>
        <v>смотреть</v>
      </c>
      <c r="H577">
        <v>55.02648470637243</v>
      </c>
      <c r="I577">
        <v>73.29192996025061</v>
      </c>
    </row>
    <row r="578">
      <c r="A578">
        <v>577</v>
      </c>
      <c r="B578" t="inlineStr">
        <is>
          <t xml:space="preserve">Проспект Мира, 11, пересечение с бульваром Инженеров</t>
        </is>
      </c>
      <c r="C578" t="inlineStr">
        <is>
          <t xml:space="preserve">Билборд</t>
        </is>
      </c>
      <c r="D578" t="inlineStr">
        <is>
          <t xml:space="preserve">6×3</t>
        </is>
      </c>
      <c r="E578" t="inlineStr">
        <is>
          <t xml:space="preserve">A, B</t>
        </is>
      </c>
      <c r="F578" s="2" t="str">
        <f>HYPERLINK("https://yandex.ru/maps/?pt=73.28826069885844,55.0278348970215&amp;z=17","открыть")</f>
        <v>открыть</v>
      </c>
      <c r="G578" s="2" t="str">
        <f>HYPERLINK("https://mediafasadomsk.com/surfaces/bb-mira-prospekt-11-h-s-bulvarom-inzhenerov-a-900.jpg","смотреть")</f>
        <v>смотреть</v>
      </c>
      <c r="H578">
        <v>55.0278348970215</v>
      </c>
      <c r="I578">
        <v>73.28826069885844</v>
      </c>
    </row>
    <row r="579">
      <c r="A579">
        <v>578</v>
      </c>
      <c r="B579" t="inlineStr">
        <is>
          <t xml:space="preserve">Проспект Мира, 11к1 (светофор, ТЦ «Терминал»)</t>
        </is>
      </c>
      <c r="C579" t="inlineStr">
        <is>
          <t xml:space="preserve">Билборд</t>
        </is>
      </c>
      <c r="D579" t="inlineStr">
        <is>
          <t xml:space="preserve">6×3</t>
        </is>
      </c>
      <c r="E579" t="inlineStr">
        <is>
          <t xml:space="preserve">A, B</t>
        </is>
      </c>
      <c r="F579" s="2" t="str">
        <f>HYPERLINK("https://yandex.ru/maps/?pt=73.2931852346096,55.026060328955815&amp;z=17","открыть")</f>
        <v>открыть</v>
      </c>
      <c r="G579" s="2" t="str">
        <f>HYPERLINK("https://mediafasadomsk.com/surfaces/bb-mira-prospekt-11k1-svetofor-tc-terminal-a-900.jpg","смотреть")</f>
        <v>смотреть</v>
      </c>
      <c r="H579">
        <v>55.026060328955815</v>
      </c>
      <c r="I579">
        <v>73.2931852346096</v>
      </c>
    </row>
    <row r="580">
      <c r="A580">
        <v>579</v>
      </c>
      <c r="B580" t="inlineStr">
        <is>
          <t xml:space="preserve">Проспект Мира, 12 (светофор)</t>
        </is>
      </c>
      <c r="C580" t="inlineStr">
        <is>
          <t xml:space="preserve">Билборд</t>
        </is>
      </c>
      <c r="D580" t="inlineStr">
        <is>
          <t xml:space="preserve">6×3</t>
        </is>
      </c>
      <c r="E580" t="inlineStr">
        <is>
          <t xml:space="preserve">A, B</t>
        </is>
      </c>
      <c r="F580" s="2" t="str">
        <f>HYPERLINK("https://yandex.ru/maps/?pt=73.30115539812752,55.02339036459524&amp;z=17","открыть")</f>
        <v>открыть</v>
      </c>
      <c r="G580" s="2" t="str">
        <f>HYPERLINK("https://mediafasadomsk.com/surfaces/bb-mira-prospekt-12-svetofor-a-900.jpg","смотреть")</f>
        <v>смотреть</v>
      </c>
      <c r="H580">
        <v>55.02339036459524</v>
      </c>
      <c r="I580">
        <v>73.30115539812752</v>
      </c>
    </row>
    <row r="581">
      <c r="A581">
        <v>580</v>
      </c>
      <c r="B581" t="inlineStr">
        <is>
          <t xml:space="preserve">Проспект Мира, 16</t>
        </is>
      </c>
      <c r="C581" t="inlineStr">
        <is>
          <t xml:space="preserve">Цифровой билборд</t>
        </is>
      </c>
      <c r="D581" t="inlineStr">
        <is>
          <t xml:space="preserve">6×3</t>
        </is>
      </c>
      <c r="E581" t="inlineStr">
        <is>
          <t xml:space="preserve">A1, B1</t>
        </is>
      </c>
      <c r="F581" s="2" t="str">
        <f>HYPERLINK("https://yandex.ru/maps/?pt=73.29959971689952,55.023968483903005&amp;z=17","открыть")</f>
        <v>открыть</v>
      </c>
      <c r="G581" s="2" t="str">
        <f>HYPERLINK("https://mediafasadomsk.com/surfaces/bb-mira-prospekt-16-a-900.jpg","смотреть")</f>
        <v>смотреть</v>
      </c>
      <c r="H581">
        <v>55.023968483903005</v>
      </c>
      <c r="I581">
        <v>73.29959971689952</v>
      </c>
    </row>
    <row r="582">
      <c r="A582">
        <v>581</v>
      </c>
      <c r="B582" t="inlineStr">
        <is>
          <t xml:space="preserve">Проспект Мира, 17</t>
        </is>
      </c>
      <c r="C582" t="inlineStr">
        <is>
          <t xml:space="preserve">Билборд</t>
        </is>
      </c>
      <c r="D582" t="inlineStr">
        <is>
          <t xml:space="preserve">6×3</t>
        </is>
      </c>
      <c r="E582" t="inlineStr">
        <is>
          <t xml:space="preserve">A, B</t>
        </is>
      </c>
      <c r="F582" s="2" t="str">
        <f>HYPERLINK("https://yandex.ru/maps/?pt=73.28697724127561,55.02828871860055&amp;z=17","открыть")</f>
        <v>открыть</v>
      </c>
      <c r="G582" s="2" t="str">
        <f>HYPERLINK("https://mediafasadomsk.com/surfaces/bb-mira-prospekt-17-a-900.jpg","смотреть")</f>
        <v>смотреть</v>
      </c>
      <c r="H582">
        <v>55.02828871860055</v>
      </c>
      <c r="I582">
        <v>73.28697724127561</v>
      </c>
    </row>
    <row r="583">
      <c r="A583">
        <v>582</v>
      </c>
      <c r="B583" t="inlineStr">
        <is>
          <t xml:space="preserve">Проспект Мира, 26 (светофор, ТЦ «Терминал»)</t>
        </is>
      </c>
      <c r="C583" t="inlineStr">
        <is>
          <t xml:space="preserve">Билборд</t>
        </is>
      </c>
      <c r="D583" t="inlineStr">
        <is>
          <t xml:space="preserve">6×3</t>
        </is>
      </c>
      <c r="E583" t="inlineStr">
        <is>
          <t xml:space="preserve">A, B</t>
        </is>
      </c>
      <c r="F583" s="2" t="str">
        <f>HYPERLINK("https://yandex.ru/maps/?pt=73.29545438343608,55.02547609560808&amp;z=17","открыть")</f>
        <v>открыть</v>
      </c>
      <c r="G583" s="2" t="str">
        <f>HYPERLINK("https://mediafasadomsk.com/surfaces/bb-mira-prospekt-26-svetofor-tc-terminal-a-900.jpg","смотреть")</f>
        <v>смотреть</v>
      </c>
      <c r="H583">
        <v>55.02547609560808</v>
      </c>
      <c r="I583">
        <v>73.29545438343608</v>
      </c>
    </row>
    <row r="584">
      <c r="A584">
        <v>583</v>
      </c>
      <c r="B584" t="inlineStr">
        <is>
          <t xml:space="preserve">Проспект Мира, 32 (светофор, ТЦ «Терминал»)</t>
        </is>
      </c>
      <c r="C584" t="inlineStr">
        <is>
          <t xml:space="preserve">Цифровой билборд</t>
        </is>
      </c>
      <c r="D584" t="inlineStr">
        <is>
          <t xml:space="preserve">6×3</t>
        </is>
      </c>
      <c r="E584" t="inlineStr">
        <is>
          <t xml:space="preserve">A1, B1</t>
        </is>
      </c>
      <c r="F584" s="2" t="str">
        <f>HYPERLINK("https://yandex.ru/maps/?pt=73.29193264265223,55.02676757213712&amp;z=17","открыть")</f>
        <v>открыть</v>
      </c>
      <c r="G584" s="2" t="str">
        <f>HYPERLINK("https://mediafasadomsk.com/surfaces/bb-mira-prospekt-32-svetofor-tc-terminal-a-900.jpg","смотреть")</f>
        <v>смотреть</v>
      </c>
      <c r="H584">
        <v>55.02676757213712</v>
      </c>
      <c r="I584">
        <v>73.29193264265223</v>
      </c>
    </row>
    <row r="585">
      <c r="A585">
        <v>584</v>
      </c>
      <c r="B585" t="inlineStr">
        <is>
          <t xml:space="preserve">Проспект Мира, 4 (у пересечения с улицей Заозёрная)</t>
        </is>
      </c>
      <c r="C585" t="inlineStr">
        <is>
          <t xml:space="preserve">Билборд</t>
        </is>
      </c>
      <c r="D585" t="inlineStr">
        <is>
          <t xml:space="preserve">6×3</t>
        </is>
      </c>
      <c r="E585" t="inlineStr">
        <is>
          <t xml:space="preserve">A, B</t>
        </is>
      </c>
      <c r="F585" s="2" t="str">
        <f>HYPERLINK("https://yandex.ru/maps/?pt=73.30325825033135,55.0226277117166&amp;z=17","открыть")</f>
        <v>открыть</v>
      </c>
      <c r="G585" s="2" t="str">
        <f>HYPERLINK("https://mediafasadomsk.com/surfaces/bb-mira-prospekt-4-h-s-ul-zaozernaya-a-900.jpg","смотреть")</f>
        <v>смотреть</v>
      </c>
      <c r="H585">
        <v>55.0226277117166</v>
      </c>
      <c r="I585">
        <v>73.30325825033135</v>
      </c>
    </row>
    <row r="586">
      <c r="A586">
        <v>585</v>
      </c>
      <c r="B586" t="inlineStr">
        <is>
          <t xml:space="preserve">Проспект Мира, 40</t>
        </is>
      </c>
      <c r="C586" t="inlineStr">
        <is>
          <t xml:space="preserve">Билборд</t>
        </is>
      </c>
      <c r="D586" t="inlineStr">
        <is>
          <t xml:space="preserve">6×3</t>
        </is>
      </c>
      <c r="E586" t="inlineStr">
        <is>
          <t xml:space="preserve">A, B</t>
        </is>
      </c>
      <c r="F586" s="2" t="str">
        <f>HYPERLINK("https://yandex.ru/maps/?pt=73.2884524562335,55.028045809894&amp;z=17","открыть")</f>
        <v>открыть</v>
      </c>
      <c r="G586" s="2" t="str">
        <f>HYPERLINK("https://mediafasadomsk.com/surfaces/bb-mira-prospekt-40-a-900.jpg","смотреть")</f>
        <v>смотреть</v>
      </c>
      <c r="H586">
        <v>55.028045809894</v>
      </c>
      <c r="I586">
        <v>73.2884524562335</v>
      </c>
    </row>
    <row r="587">
      <c r="A587">
        <v>586</v>
      </c>
      <c r="B587" t="inlineStr">
        <is>
          <t xml:space="preserve">Проспект Мира, 43 (у пересечения с улицей Нефтезаводская, светофор)</t>
        </is>
      </c>
      <c r="C587" t="inlineStr">
        <is>
          <t xml:space="preserve">Цифровой билборд</t>
        </is>
      </c>
      <c r="D587" t="inlineStr">
        <is>
          <t xml:space="preserve">6×3</t>
        </is>
      </c>
      <c r="E587" t="inlineStr">
        <is>
          <t xml:space="preserve">B1</t>
        </is>
      </c>
      <c r="F587" s="2" t="str">
        <f>HYPERLINK("https://yandex.ru/maps/?pt=73.27088534885993,55.028991003452475&amp;z=17","открыть")</f>
        <v>открыть</v>
      </c>
      <c r="G587" s="2" t="str">
        <f>HYPERLINK("https://mediafasadomsk.com/surfaces/bb-mira-prospekt-43-h-s-ul-neftezavodskaya-svetofor-a-900.jpg","смотреть")</f>
        <v>смотреть</v>
      </c>
      <c r="H587">
        <v>55.028991003452475</v>
      </c>
      <c r="I587">
        <v>73.27088534885993</v>
      </c>
    </row>
    <row r="588">
      <c r="A588">
        <v>587</v>
      </c>
      <c r="B588" t="inlineStr">
        <is>
          <t xml:space="preserve">Проспект Мира, 46 (у пересечения с улицей Химиков, светофор)</t>
        </is>
      </c>
      <c r="C588" t="inlineStr">
        <is>
          <t xml:space="preserve">Билборд</t>
        </is>
      </c>
      <c r="D588" t="inlineStr">
        <is>
          <t xml:space="preserve">6×3</t>
        </is>
      </c>
      <c r="E588" t="inlineStr">
        <is>
          <t xml:space="preserve">A</t>
        </is>
      </c>
      <c r="F588" s="2" t="str">
        <f>HYPERLINK("https://yandex.ru/maps/?pt=73.28586280399978,55.0290002184819&amp;z=17","открыть")</f>
        <v>открыть</v>
      </c>
      <c r="G588" s="2" t="str">
        <f>HYPERLINK("https://mediafasadomsk.com/surfaces/bb-mira-prospekt-46-h-s-ul-himikov-svetofor-a-900.jpg","смотреть")</f>
        <v>смотреть</v>
      </c>
      <c r="H588">
        <v>55.0290002184819</v>
      </c>
      <c r="I588">
        <v>73.28586280399978</v>
      </c>
    </row>
    <row r="589">
      <c r="A589">
        <v>588</v>
      </c>
      <c r="B589" t="inlineStr">
        <is>
          <t xml:space="preserve">Проспект Мира, 46 (у пересечения с улицей Химиков, светофор)</t>
        </is>
      </c>
      <c r="C589" t="inlineStr">
        <is>
          <t xml:space="preserve">Призматрон</t>
        </is>
      </c>
      <c r="D589" t="inlineStr">
        <is>
          <t xml:space="preserve">6×3</t>
        </is>
      </c>
      <c r="E589" t="inlineStr">
        <is>
          <t xml:space="preserve">B1</t>
        </is>
      </c>
      <c r="F589" s="2" t="str">
        <f>HYPERLINK("https://yandex.ru/maps/?pt=73.28586280399978,55.0290002184819&amp;z=17","открыть")</f>
        <v>открыть</v>
      </c>
      <c r="G589" s="2" t="str">
        <f>HYPERLINK("https://mediafasadomsk.com/surfaces/bb-mira-prospekt-46-h-s-ul-himikov-svetofor-b1-a-900.jpg","смотреть")</f>
        <v>смотреть</v>
      </c>
      <c r="H589">
        <v>55.0290002184819</v>
      </c>
      <c r="I589">
        <v>73.28586280399978</v>
      </c>
    </row>
    <row r="590">
      <c r="A590">
        <v>589</v>
      </c>
      <c r="B590" t="inlineStr">
        <is>
          <t xml:space="preserve">Проспект Мира, 47</t>
        </is>
      </c>
      <c r="C590" t="inlineStr">
        <is>
          <t xml:space="preserve">Билборд</t>
        </is>
      </c>
      <c r="D590" t="inlineStr">
        <is>
          <t xml:space="preserve">6×3</t>
        </is>
      </c>
      <c r="E590" t="inlineStr">
        <is>
          <t xml:space="preserve">A, B</t>
        </is>
      </c>
      <c r="F590" s="2" t="str">
        <f>HYPERLINK("https://yandex.ru/maps/?pt=73.26870000000004,55.02900000000002&amp;z=17","открыть")</f>
        <v>открыть</v>
      </c>
      <c r="G590" s="2" t="str">
        <f>HYPERLINK("https://mediafasadomsk.com/surfaces/bb-mira-prospekt-47-a-900.jpg","смотреть")</f>
        <v>смотреть</v>
      </c>
      <c r="H590">
        <v>55.02900000000002</v>
      </c>
      <c r="I590">
        <v>73.26870000000004</v>
      </c>
    </row>
    <row r="591">
      <c r="A591">
        <v>590</v>
      </c>
      <c r="B591" t="inlineStr">
        <is>
          <t xml:space="preserve">Проспект Мира, 5 (светофор)</t>
        </is>
      </c>
      <c r="C591" t="inlineStr">
        <is>
          <t xml:space="preserve">Билборд</t>
        </is>
      </c>
      <c r="D591" t="inlineStr">
        <is>
          <t xml:space="preserve">6×3</t>
        </is>
      </c>
      <c r="E591" t="inlineStr">
        <is>
          <t xml:space="preserve">A, B</t>
        </is>
      </c>
      <c r="F591" s="2" t="str">
        <f>HYPERLINK("https://yandex.ru/maps/?pt=73.30052239679969,55.02337806403128&amp;z=17","открыть")</f>
        <v>открыть</v>
      </c>
      <c r="G591" s="2" t="str">
        <f>HYPERLINK("https://mediafasadomsk.com/surfaces/bb-mira-prospekt-5-svetofor-a-900.jpg","смотреть")</f>
        <v>смотреть</v>
      </c>
      <c r="H591">
        <v>55.02337806403128</v>
      </c>
      <c r="I591">
        <v>73.30052239679969</v>
      </c>
    </row>
    <row r="592">
      <c r="A592">
        <v>591</v>
      </c>
      <c r="B592" t="inlineStr">
        <is>
          <t xml:space="preserve">Проспект Мира, 55 (светофор)</t>
        </is>
      </c>
      <c r="C592" t="inlineStr">
        <is>
          <t xml:space="preserve">Билборд</t>
        </is>
      </c>
      <c r="D592" t="inlineStr">
        <is>
          <t xml:space="preserve">6×3</t>
        </is>
      </c>
      <c r="E592" t="inlineStr">
        <is>
          <t xml:space="preserve">A, B</t>
        </is>
      </c>
      <c r="F592" s="2" t="str">
        <f>HYPERLINK("https://yandex.ru/maps/?pt=73.26380201223284,55.02893740263877&amp;z=17","открыть")</f>
        <v>открыть</v>
      </c>
      <c r="G592" s="2" t="str">
        <f>HYPERLINK("https://mediafasadomsk.com/surfaces/bb-mira-prospekt-55-svetofor-a-900.jpg","смотреть")</f>
        <v>смотреть</v>
      </c>
      <c r="H592">
        <v>55.02893740263877</v>
      </c>
      <c r="I592">
        <v>73.26380201223284</v>
      </c>
    </row>
    <row r="593">
      <c r="A593">
        <v>592</v>
      </c>
      <c r="B593" t="inlineStr">
        <is>
          <t xml:space="preserve">Проспект Мира, 67к1</t>
        </is>
      </c>
      <c r="C593" t="inlineStr">
        <is>
          <t xml:space="preserve">Билборд</t>
        </is>
      </c>
      <c r="D593" t="inlineStr">
        <is>
          <t xml:space="preserve">6×3</t>
        </is>
      </c>
      <c r="E593" t="inlineStr">
        <is>
          <t xml:space="preserve">A, B</t>
        </is>
      </c>
      <c r="F593" s="2" t="str">
        <f>HYPERLINK("https://yandex.ru/maps/?pt=73.25202950429914,55.02876762537671&amp;z=17","открыть")</f>
        <v>открыть</v>
      </c>
      <c r="G593" s="2" t="str">
        <f>HYPERLINK("https://mediafasadomsk.com/surfaces/bb-mira-prospekt-67k1-a-900.jpg","смотреть")</f>
        <v>смотреть</v>
      </c>
      <c r="H593">
        <v>55.02876762537671</v>
      </c>
      <c r="I593">
        <v>73.25202950429914</v>
      </c>
    </row>
    <row r="594">
      <c r="A594">
        <v>593</v>
      </c>
      <c r="B594" t="inlineStr">
        <is>
          <t xml:space="preserve">Проспект Мира, 73С</t>
        </is>
      </c>
      <c r="C594" t="inlineStr">
        <is>
          <t xml:space="preserve">Билборд</t>
        </is>
      </c>
      <c r="D594" t="inlineStr">
        <is>
          <t xml:space="preserve">6×3</t>
        </is>
      </c>
      <c r="E594" t="inlineStr">
        <is>
          <t xml:space="preserve">A, B</t>
        </is>
      </c>
      <c r="F594" s="2" t="str">
        <f>HYPERLINK("https://yandex.ru/maps/?pt=73.24559539384798,55.02866762308545&amp;z=17","открыть")</f>
        <v>открыть</v>
      </c>
      <c r="G594" s="2" t="str">
        <f>HYPERLINK("https://mediafasadomsk.com/surfaces/bb-mira-prospekt-73s-a-900.jpg","смотреть")</f>
        <v>смотреть</v>
      </c>
      <c r="H594">
        <v>55.02866762308545</v>
      </c>
      <c r="I594">
        <v>73.24559539384798</v>
      </c>
    </row>
    <row r="595">
      <c r="A595">
        <v>594</v>
      </c>
      <c r="B595" t="inlineStr">
        <is>
          <t xml:space="preserve">Проспект Мира, 9 (светофор, ТЦ «Терминал»)</t>
        </is>
      </c>
      <c r="C595" t="inlineStr">
        <is>
          <t xml:space="preserve">Цифровой билборд</t>
        </is>
      </c>
      <c r="D595" t="inlineStr">
        <is>
          <t xml:space="preserve">6×3</t>
        </is>
      </c>
      <c r="E595" t="inlineStr">
        <is>
          <t xml:space="preserve">B1</t>
        </is>
      </c>
      <c r="F595" s="2" t="str">
        <f>HYPERLINK("https://yandex.ru/maps/?pt=73.29724609905732,55.02454437455078&amp;z=17","открыть")</f>
        <v>открыть</v>
      </c>
      <c r="G595" s="2" t="str">
        <f>HYPERLINK("https://mediafasadomsk.com/surfaces/bb-mira-prospekt-9-svetofor-tc-terminal-a-900.jpg","смотреть")</f>
        <v>смотреть</v>
      </c>
      <c r="H595">
        <v>55.02454437455078</v>
      </c>
      <c r="I595">
        <v>73.29724609905732</v>
      </c>
    </row>
    <row r="596">
      <c r="A596">
        <v>595</v>
      </c>
      <c r="B596" t="inlineStr">
        <is>
          <t xml:space="preserve">Проспект Мира, 9 (светофор, ТЦ «Терминал»)</t>
        </is>
      </c>
      <c r="C596" t="inlineStr">
        <is>
          <t xml:space="preserve">Билборд</t>
        </is>
      </c>
      <c r="D596" t="inlineStr">
        <is>
          <t xml:space="preserve">6×3</t>
        </is>
      </c>
      <c r="E596" t="inlineStr">
        <is>
          <t xml:space="preserve">A</t>
        </is>
      </c>
      <c r="F596" s="2" t="str">
        <f>HYPERLINK("https://yandex.ru/maps/?pt=73.29724609905732,55.02454437455078&amp;z=17","открыть")</f>
        <v>открыть</v>
      </c>
      <c r="G596" s="2" t="str">
        <f>HYPERLINK("https://mediafasadomsk.com/surfaces/bb-mira-prospekt-9-svetofor-tc-terminal-a-a-900.jpg","смотреть")</f>
        <v>смотреть</v>
      </c>
      <c r="H596">
        <v>55.02454437455078</v>
      </c>
      <c r="I596">
        <v>73.29724609905732</v>
      </c>
    </row>
    <row r="597">
      <c r="A597">
        <v>596</v>
      </c>
      <c r="B597" t="inlineStr">
        <is>
          <t xml:space="preserve">Проспект Мира, 9Б (светофор, ТЦ «Терминал»)</t>
        </is>
      </c>
      <c r="C597" t="inlineStr">
        <is>
          <t xml:space="preserve">Билборд</t>
        </is>
      </c>
      <c r="D597" t="inlineStr">
        <is>
          <t xml:space="preserve">6×3</t>
        </is>
      </c>
      <c r="E597" t="inlineStr">
        <is>
          <t xml:space="preserve">A, B</t>
        </is>
      </c>
      <c r="F597" s="2" t="str">
        <f>HYPERLINK("https://yandex.ru/maps/?pt=73.2945799832974,55.025512995521275&amp;z=17","открыть")</f>
        <v>открыть</v>
      </c>
      <c r="G597" s="2" t="str">
        <f>HYPERLINK("https://mediafasadomsk.com/surfaces/bb-mira-prospekt-9b-svetofor-tc-terminal-a-900.jpg","смотреть")</f>
        <v>смотреть</v>
      </c>
      <c r="H597">
        <v>55.025512995521275</v>
      </c>
      <c r="I597">
        <v>73.2945799832974</v>
      </c>
    </row>
    <row r="598">
      <c r="A598">
        <v>597</v>
      </c>
      <c r="B598" t="inlineStr">
        <is>
          <t xml:space="preserve">3-я Молодёжная, 81/3</t>
        </is>
      </c>
      <c r="C598" t="inlineStr">
        <is>
          <t xml:space="preserve">Билборд</t>
        </is>
      </c>
      <c r="D598" t="inlineStr">
        <is>
          <t xml:space="preserve">6×3</t>
        </is>
      </c>
      <c r="E598" t="inlineStr">
        <is>
          <t xml:space="preserve">A, B</t>
        </is>
      </c>
      <c r="F598" s="2" t="str">
        <f>HYPERLINK("https://yandex.ru/maps/?pt=73.48131537482917,54.95562441088406&amp;z=17","открыть")</f>
        <v>открыть</v>
      </c>
      <c r="G598" s="2" t="str">
        <f>HYPERLINK("https://mediafasadomsk.com/surfaces/bb-molodezhnaya-3-ya-ul-81-3-a-900.jpg","смотреть")</f>
        <v>смотреть</v>
      </c>
      <c r="H598">
        <v>54.95562441088406</v>
      </c>
      <c r="I598">
        <v>73.48131537482917</v>
      </c>
    </row>
    <row r="599">
      <c r="A599">
        <v>598</v>
      </c>
      <c r="B599" t="inlineStr">
        <is>
          <t xml:space="preserve">3-я Молодёжная, 81/5</t>
        </is>
      </c>
      <c r="C599" t="inlineStr">
        <is>
          <t xml:space="preserve">Билборд</t>
        </is>
      </c>
      <c r="D599" t="inlineStr">
        <is>
          <t xml:space="preserve">6×3</t>
        </is>
      </c>
      <c r="E599" t="inlineStr">
        <is>
          <t xml:space="preserve">A, B</t>
        </is>
      </c>
      <c r="F599" s="2" t="str">
        <f>HYPERLINK("https://yandex.ru/maps/?pt=73.48001718566606,54.95532561597044&amp;z=17","открыть")</f>
        <v>открыть</v>
      </c>
      <c r="G599" s="2" t="str">
        <f>HYPERLINK("https://mediafasadomsk.com/surfaces/bb-molodezhnaya-3-ya-ul-81-5-a-900.jpg","смотреть")</f>
        <v>смотреть</v>
      </c>
      <c r="H599">
        <v>54.95532561597044</v>
      </c>
      <c r="I599">
        <v>73.48001718566606</v>
      </c>
    </row>
    <row r="600">
      <c r="A600">
        <v>599</v>
      </c>
      <c r="B600" t="inlineStr">
        <is>
          <t xml:space="preserve">На объездной дороге ТРК Континент (напротив №25 к2 на улице 70 лет Октября)</t>
        </is>
      </c>
      <c r="C600" t="inlineStr">
        <is>
          <t xml:space="preserve">Цифровой билборд</t>
        </is>
      </c>
      <c r="D600" t="inlineStr">
        <is>
          <t xml:space="preserve">6×3</t>
        </is>
      </c>
      <c r="E600" t="inlineStr">
        <is>
          <t xml:space="preserve">B</t>
        </is>
      </c>
      <c r="F600" s="2" t="str">
        <f>HYPERLINK("https://yandex.ru/maps/?pt=73.319941,54.978498&amp;z=17","открыть")</f>
        <v>открыть</v>
      </c>
      <c r="G600" s="2" t="str">
        <f>HYPERLINK("https://mediafasadomsk.com/surfaces/bb-na-obezdnoj-doroge-trk-kontinent-naprotiv-25-k2-na-ulice-70-let-oktyabrya-a-900.jpg","смотреть")</f>
        <v>смотреть</v>
      </c>
      <c r="H600">
        <v>54.978498</v>
      </c>
      <c r="I600">
        <v>73.319941</v>
      </c>
    </row>
    <row r="601">
      <c r="A601">
        <v>600</v>
      </c>
      <c r="B601" t="inlineStr">
        <is>
          <t xml:space="preserve">На объездной дороге ТРК Континент (напротив №25 к2 на улице 70 лет Октября)</t>
        </is>
      </c>
      <c r="C601" t="inlineStr">
        <is>
          <t xml:space="preserve">Билборд</t>
        </is>
      </c>
      <c r="D601" t="inlineStr">
        <is>
          <t xml:space="preserve">6×3</t>
        </is>
      </c>
      <c r="E601" t="inlineStr">
        <is>
          <t xml:space="preserve">A</t>
        </is>
      </c>
      <c r="F601" s="2" t="str">
        <f>HYPERLINK("https://yandex.ru/maps/?pt=73.319941,54.978498&amp;z=17","открыть")</f>
        <v>открыть</v>
      </c>
      <c r="G601" s="2" t="str">
        <f>HYPERLINK("https://mediafasadomsk.com/surfaces/bb-na-obezdnoj-doroge-trk-kontinent-naprotiv-25-k2-na-ulice-70-let-oktyabrya-a-a-900.jpg","смотреть")</f>
        <v>смотреть</v>
      </c>
      <c r="H601">
        <v>54.978498</v>
      </c>
      <c r="I601">
        <v>73.319941</v>
      </c>
    </row>
    <row r="602">
      <c r="A602">
        <v>601</v>
      </c>
      <c r="B602" t="inlineStr">
        <is>
          <t xml:space="preserve">На объездной дороге ТРК Континент (у здания №25 к4 на улице 70 лет Октября)</t>
        </is>
      </c>
      <c r="C602" t="inlineStr">
        <is>
          <t xml:space="preserve">Билборд</t>
        </is>
      </c>
      <c r="D602" t="inlineStr">
        <is>
          <t xml:space="preserve">6×3</t>
        </is>
      </c>
      <c r="E602" t="inlineStr">
        <is>
          <t xml:space="preserve">A, B</t>
        </is>
      </c>
      <c r="F602" s="2" t="str">
        <f>HYPERLINK("https://yandex.ru/maps/?pt=73.324178,54.975036&amp;z=17","открыть")</f>
        <v>открыть</v>
      </c>
      <c r="G602" s="2" t="str">
        <f>HYPERLINK("https://mediafasadomsk.com/surfaces/bb-na-obezdnoj-doroge-trk-kontinent-u-zdaniya-25-k4-na-ulice-70-let-oktyabrya-a-900.jpg","смотреть")</f>
        <v>смотреть</v>
      </c>
      <c r="H602">
        <v>54.975036</v>
      </c>
      <c r="I602">
        <v>73.324178</v>
      </c>
    </row>
    <row r="603">
      <c r="A603">
        <v>602</v>
      </c>
      <c r="B603" t="inlineStr">
        <is>
          <t xml:space="preserve">Нефтезаводская, 10</t>
        </is>
      </c>
      <c r="C603" t="inlineStr">
        <is>
          <t xml:space="preserve">Билборд</t>
        </is>
      </c>
      <c r="D603" t="inlineStr">
        <is>
          <t xml:space="preserve">6×3</t>
        </is>
      </c>
      <c r="E603" t="inlineStr">
        <is>
          <t xml:space="preserve">A, B</t>
        </is>
      </c>
      <c r="F603" s="2" t="str">
        <f>HYPERLINK("https://yandex.ru/maps/?pt=73.269152,55.032674&amp;z=17","открыть")</f>
        <v>открыть</v>
      </c>
      <c r="G603" s="2" t="str">
        <f>HYPERLINK("https://mediafasadomsk.com/surfaces/bb-neftezavodskaya-ul-10-a-900.jpg","смотреть")</f>
        <v>смотреть</v>
      </c>
      <c r="H603">
        <v>55.032674</v>
      </c>
      <c r="I603">
        <v>73.269152</v>
      </c>
    </row>
    <row r="604">
      <c r="A604">
        <v>603</v>
      </c>
      <c r="B604" t="inlineStr">
        <is>
          <t xml:space="preserve">Нефтезаводская, 18</t>
        </is>
      </c>
      <c r="C604" t="inlineStr">
        <is>
          <t xml:space="preserve">Цифровой билборд</t>
        </is>
      </c>
      <c r="D604" t="inlineStr">
        <is>
          <t xml:space="preserve">6×3</t>
        </is>
      </c>
      <c r="E604" t="inlineStr">
        <is>
          <t xml:space="preserve">A</t>
        </is>
      </c>
      <c r="F604" s="2" t="str">
        <f>HYPERLINK("https://yandex.ru/maps/?pt=73.267825,55.034477&amp;z=17","открыть")</f>
        <v>открыть</v>
      </c>
      <c r="G604" s="2" t="str">
        <f>HYPERLINK("https://mediafasadomsk.com/surfaces/bb-neftezavodskaya-ul-18-a-900.jpg","смотреть")</f>
        <v>смотреть</v>
      </c>
      <c r="H604">
        <v>55.034477</v>
      </c>
      <c r="I604">
        <v>73.267825</v>
      </c>
    </row>
    <row r="605">
      <c r="A605">
        <v>604</v>
      </c>
      <c r="B605" t="inlineStr">
        <is>
          <t xml:space="preserve">Нефтезаводская, 18</t>
        </is>
      </c>
      <c r="C605" t="inlineStr">
        <is>
          <t xml:space="preserve">Билборд</t>
        </is>
      </c>
      <c r="D605" t="inlineStr">
        <is>
          <t xml:space="preserve">6×3</t>
        </is>
      </c>
      <c r="E605" t="inlineStr">
        <is>
          <t xml:space="preserve">A, B</t>
        </is>
      </c>
      <c r="F605" s="2" t="str">
        <f>HYPERLINK("https://yandex.ru/maps/?pt=73.267825,55.034477&amp;z=17","открыть")</f>
        <v>открыть</v>
      </c>
      <c r="G605" s="2" t="str">
        <f>HYPERLINK("https://mediafasadomsk.com/surfaces/bb-neftezavodskaya-ul-18-2-a-900.jpg","смотреть")</f>
        <v>смотреть</v>
      </c>
      <c r="H605">
        <v>55.034477</v>
      </c>
      <c r="I605">
        <v>73.267825</v>
      </c>
    </row>
    <row r="606">
      <c r="A606">
        <v>605</v>
      </c>
      <c r="B606" t="inlineStr">
        <is>
          <t xml:space="preserve">Нефтезаводская, 2 (у пересечения с проспектом Мира, светофор)</t>
        </is>
      </c>
      <c r="C606" t="inlineStr">
        <is>
          <t xml:space="preserve">Билборд</t>
        </is>
      </c>
      <c r="D606" t="inlineStr">
        <is>
          <t xml:space="preserve">6×3</t>
        </is>
      </c>
      <c r="E606" t="inlineStr">
        <is>
          <t xml:space="preserve">A, B</t>
        </is>
      </c>
      <c r="F606" s="2" t="str">
        <f>HYPERLINK("https://yandex.ru/maps/?pt=73.27156299999977,55.02974199999998&amp;z=17","открыть")</f>
        <v>открыть</v>
      </c>
      <c r="G606" s="2" t="str">
        <f>HYPERLINK("https://mediafasadomsk.com/surfaces/bb-neftezavodskaya-ul-2-h-s-prospektom-mira-svetofor-a-900.jpg","смотреть")</f>
        <v>смотреть</v>
      </c>
      <c r="H606">
        <v>55.02974199999998</v>
      </c>
      <c r="I606">
        <v>73.27156299999977</v>
      </c>
    </row>
    <row r="607">
      <c r="A607">
        <v>606</v>
      </c>
      <c r="B607" t="inlineStr">
        <is>
          <t xml:space="preserve">Нефтезаводская, 22 (у пересечения с улицей Магистральная, светофор)</t>
        </is>
      </c>
      <c r="C607" t="inlineStr">
        <is>
          <t xml:space="preserve">Цифровой билборд</t>
        </is>
      </c>
      <c r="D607" t="inlineStr">
        <is>
          <t xml:space="preserve">6×3</t>
        </is>
      </c>
      <c r="E607" t="inlineStr">
        <is>
          <t xml:space="preserve">A1</t>
        </is>
      </c>
      <c r="F607" s="2" t="str">
        <f>HYPERLINK("https://yandex.ru/maps/?pt=73.26749969913497,55.03482510520432&amp;z=17","открыть")</f>
        <v>открыть</v>
      </c>
      <c r="G607" s="2" t="str">
        <f>HYPERLINK("https://mediafasadomsk.com/surfaces/bb-neftezavodskaya-ul-22-h-s-ul-magistralnaya-svetofor-a-900.jpg","смотреть")</f>
        <v>смотреть</v>
      </c>
      <c r="H607">
        <v>55.03482510520432</v>
      </c>
      <c r="I607">
        <v>73.26749969913497</v>
      </c>
    </row>
    <row r="608">
      <c r="A608">
        <v>607</v>
      </c>
      <c r="B608" t="inlineStr">
        <is>
          <t xml:space="preserve">Нефтезаводская, 23 (светофор)</t>
        </is>
      </c>
      <c r="C608" t="inlineStr">
        <is>
          <t xml:space="preserve">Билборд</t>
        </is>
      </c>
      <c r="D608" t="inlineStr">
        <is>
          <t xml:space="preserve">6×3</t>
        </is>
      </c>
      <c r="E608" t="inlineStr">
        <is>
          <t xml:space="preserve">A, B</t>
        </is>
      </c>
      <c r="F608" s="2" t="str">
        <f>HYPERLINK("https://yandex.ru/maps/?pt=73.26652337505396,55.0354276504525&amp;z=17","открыть")</f>
        <v>открыть</v>
      </c>
      <c r="G608" s="2" t="str">
        <f>HYPERLINK("https://mediafasadomsk.com/surfaces/bb-neftezavodskaya-ul-23-svetofor-a-900.jpg","смотреть")</f>
        <v>смотреть</v>
      </c>
      <c r="H608">
        <v>55.0354276504525</v>
      </c>
      <c r="I608">
        <v>73.26652337505396</v>
      </c>
    </row>
    <row r="609">
      <c r="A609">
        <v>608</v>
      </c>
      <c r="B609" t="inlineStr">
        <is>
          <t xml:space="preserve">Нефтезаводская, 25</t>
        </is>
      </c>
      <c r="C609" t="inlineStr">
        <is>
          <t xml:space="preserve">Билборд</t>
        </is>
      </c>
      <c r="D609" t="inlineStr">
        <is>
          <t xml:space="preserve">6×3</t>
        </is>
      </c>
      <c r="E609" t="inlineStr">
        <is>
          <t xml:space="preserve">A, B</t>
        </is>
      </c>
      <c r="F609" s="2" t="str">
        <f>HYPERLINK("https://yandex.ru/maps/?pt=73.26554168655419,55.03665117870762&amp;z=17","открыть")</f>
        <v>открыть</v>
      </c>
      <c r="G609" s="2" t="str">
        <f>HYPERLINK("https://mediafasadomsk.com/surfaces/bb-neftezavodskaya-ul-25-a-900.jpg","смотреть")</f>
        <v>смотреть</v>
      </c>
      <c r="H609">
        <v>55.03665117870762</v>
      </c>
      <c r="I609">
        <v>73.26554168655419</v>
      </c>
    </row>
    <row r="610">
      <c r="A610">
        <v>609</v>
      </c>
      <c r="B610" t="inlineStr">
        <is>
          <t xml:space="preserve">Нефтезаводская, 26</t>
        </is>
      </c>
      <c r="C610" t="inlineStr">
        <is>
          <t xml:space="preserve">Билборд</t>
        </is>
      </c>
      <c r="D610" t="inlineStr">
        <is>
          <t xml:space="preserve">6×3</t>
        </is>
      </c>
      <c r="E610" t="inlineStr">
        <is>
          <t xml:space="preserve">A, B</t>
        </is>
      </c>
      <c r="F610" s="2" t="str">
        <f>HYPERLINK("https://yandex.ru/maps/?pt=73.26596547557862,55.03677106996037&amp;z=17","открыть")</f>
        <v>открыть</v>
      </c>
      <c r="G610" s="2" t="str">
        <f>HYPERLINK("https://mediafasadomsk.com/surfaces/bb-neftezavodskaya-ul-26-a-900.jpg","смотреть")</f>
        <v>смотреть</v>
      </c>
      <c r="H610">
        <v>55.03677106996037</v>
      </c>
      <c r="I610">
        <v>73.26596547557862</v>
      </c>
    </row>
    <row r="611">
      <c r="A611">
        <v>610</v>
      </c>
      <c r="B611" t="inlineStr">
        <is>
          <t xml:space="preserve">Нефтезаводская, 27В</t>
        </is>
      </c>
      <c r="C611" t="inlineStr">
        <is>
          <t xml:space="preserve">Билборд</t>
        </is>
      </c>
      <c r="D611" t="inlineStr">
        <is>
          <t xml:space="preserve">6×3</t>
        </is>
      </c>
      <c r="E611" t="inlineStr">
        <is>
          <t xml:space="preserve">B</t>
        </is>
      </c>
      <c r="F611" s="2" t="str">
        <f>HYPERLINK("https://yandex.ru/maps/?pt=73.264267,55.038209&amp;z=17","открыть")</f>
        <v>открыть</v>
      </c>
      <c r="G611" s="2" t="str">
        <f>HYPERLINK("https://mediafasadomsk.com/surfaces/bb-neftezavodskaya-ul-27v-a-900.jpg","смотреть")</f>
        <v>смотреть</v>
      </c>
      <c r="H611">
        <v>55.038209</v>
      </c>
      <c r="I611">
        <v>73.264267</v>
      </c>
    </row>
    <row r="612">
      <c r="A612">
        <v>611</v>
      </c>
      <c r="B612" t="inlineStr">
        <is>
          <t xml:space="preserve">Нефтезаводская, 30 (у пересечения с улицей 22 Апреля, светофор)</t>
        </is>
      </c>
      <c r="C612" t="inlineStr">
        <is>
          <t xml:space="preserve">Билборд</t>
        </is>
      </c>
      <c r="D612" t="inlineStr">
        <is>
          <t xml:space="preserve">6×3</t>
        </is>
      </c>
      <c r="E612" t="inlineStr">
        <is>
          <t xml:space="preserve">A</t>
        </is>
      </c>
      <c r="F612" s="2" t="str">
        <f>HYPERLINK("https://yandex.ru/maps/?pt=73.2648413094485,55.03816927829987&amp;z=17","открыть")</f>
        <v>открыть</v>
      </c>
      <c r="G612" s="2" t="str">
        <f>HYPERLINK("https://mediafasadomsk.com/surfaces/bb-neftezavodskaya-ul-30-h-s-ul-22-aprelya-svetofor-a-900.jpg","смотреть")</f>
        <v>смотреть</v>
      </c>
      <c r="H612">
        <v>55.03816927829987</v>
      </c>
      <c r="I612">
        <v>73.2648413094485</v>
      </c>
    </row>
    <row r="613">
      <c r="A613">
        <v>612</v>
      </c>
      <c r="B613" t="inlineStr">
        <is>
          <t xml:space="preserve">Нефтезаводская, 31</t>
        </is>
      </c>
      <c r="C613" t="inlineStr">
        <is>
          <t xml:space="preserve">Билборд</t>
        </is>
      </c>
      <c r="D613" t="inlineStr">
        <is>
          <t xml:space="preserve">6×3</t>
        </is>
      </c>
      <c r="E613" t="inlineStr">
        <is>
          <t xml:space="preserve">A, B</t>
        </is>
      </c>
      <c r="F613" s="2" t="str">
        <f>HYPERLINK("https://yandex.ru/maps/?pt=73.26332700000002,55.039332999999985&amp;z=17","открыть")</f>
        <v>открыть</v>
      </c>
      <c r="G613" s="2" t="str">
        <f>HYPERLINK("https://mediafasadomsk.com/surfaces/bb-neftezavodskaya-ul-31-a-900.jpg","смотреть")</f>
        <v>смотреть</v>
      </c>
      <c r="H613">
        <v>55.039332999999985</v>
      </c>
      <c r="I613">
        <v>73.26332700000002</v>
      </c>
    </row>
    <row r="614">
      <c r="A614">
        <v>613</v>
      </c>
      <c r="B614" t="inlineStr">
        <is>
          <t xml:space="preserve">Нефтезаводская, 42В</t>
        </is>
      </c>
      <c r="C614" t="inlineStr">
        <is>
          <t xml:space="preserve">Билборд</t>
        </is>
      </c>
      <c r="D614" t="inlineStr">
        <is>
          <t xml:space="preserve">6×3</t>
        </is>
      </c>
      <c r="E614" t="inlineStr">
        <is>
          <t xml:space="preserve">A</t>
        </is>
      </c>
      <c r="F614" s="2" t="str">
        <f>HYPERLINK("https://yandex.ru/maps/?pt=73.25788214847923,55.05194999176749&amp;z=17","открыть")</f>
        <v>открыть</v>
      </c>
      <c r="G614" s="2" t="str">
        <f>HYPERLINK("https://mediafasadomsk.com/surfaces/bb-neftezavodskaya-ul-42v-a-900.jpg","смотреть")</f>
        <v>смотреть</v>
      </c>
      <c r="H614">
        <v>55.05194999176749</v>
      </c>
      <c r="I614">
        <v>73.25788214847923</v>
      </c>
    </row>
    <row r="615">
      <c r="A615">
        <v>614</v>
      </c>
      <c r="B615" t="inlineStr">
        <is>
          <t xml:space="preserve">Нефтезаводская, 6 (у пересечения с улицей Малунцева)</t>
        </is>
      </c>
      <c r="C615" t="inlineStr">
        <is>
          <t xml:space="preserve">Билборд</t>
        </is>
      </c>
      <c r="D615" t="inlineStr">
        <is>
          <t xml:space="preserve">6×3</t>
        </is>
      </c>
      <c r="E615" t="inlineStr">
        <is>
          <t xml:space="preserve">A, B</t>
        </is>
      </c>
      <c r="F615" s="2" t="str">
        <f>HYPERLINK("https://yandex.ru/maps/?pt=73.27079999999992,55.03070000000003&amp;z=17","открыть")</f>
        <v>открыть</v>
      </c>
      <c r="G615" s="2" t="str">
        <f>HYPERLINK("https://mediafasadomsk.com/surfaces/bb-neftezavodskaya-ul-6-h-s-ul-malunceva-a-900.jpg","смотреть")</f>
        <v>смотреть</v>
      </c>
      <c r="H615">
        <v>55.03070000000003</v>
      </c>
      <c r="I615">
        <v>73.27079999999992</v>
      </c>
    </row>
    <row r="616">
      <c r="A616">
        <v>615</v>
      </c>
      <c r="B616" t="inlineStr">
        <is>
          <t xml:space="preserve">Нефтезаводская, 8 (светофор)</t>
        </is>
      </c>
      <c r="C616" t="inlineStr">
        <is>
          <t xml:space="preserve">Билборд</t>
        </is>
      </c>
      <c r="D616" t="inlineStr">
        <is>
          <t xml:space="preserve">6×3</t>
        </is>
      </c>
      <c r="E616" t="inlineStr">
        <is>
          <t xml:space="preserve">A, B</t>
        </is>
      </c>
      <c r="F616" s="2" t="str">
        <f>HYPERLINK("https://yandex.ru/maps/?pt=73.26970517635344,55.03208058311238&amp;z=17","открыть")</f>
        <v>открыть</v>
      </c>
      <c r="G616" s="2" t="str">
        <f>HYPERLINK("https://mediafasadomsk.com/surfaces/bb-neftezavodskaya-ul-8-svetofor-a-900.jpg","смотреть")</f>
        <v>смотреть</v>
      </c>
      <c r="H616">
        <v>55.03208058311238</v>
      </c>
      <c r="I616">
        <v>73.26970517635344</v>
      </c>
    </row>
    <row r="617">
      <c r="A617">
        <v>616</v>
      </c>
      <c r="B617" t="inlineStr">
        <is>
          <t xml:space="preserve">Новокирпичная, 1</t>
        </is>
      </c>
      <c r="C617" t="inlineStr">
        <is>
          <t xml:space="preserve">Билборд</t>
        </is>
      </c>
      <c r="D617" t="inlineStr">
        <is>
          <t xml:space="preserve">6×3</t>
        </is>
      </c>
      <c r="E617" t="inlineStr">
        <is>
          <t xml:space="preserve">A, B</t>
        </is>
      </c>
      <c r="F617" s="2" t="str">
        <f>HYPERLINK("https://yandex.ru/maps/?pt=73.447337,54.924569&amp;z=17","открыть")</f>
        <v>открыть</v>
      </c>
      <c r="G617" s="2" t="str">
        <f>HYPERLINK("https://mediafasadomsk.com/surfaces/bb-novokirpichnaya-ul-1-a-900.jpg","смотреть")</f>
        <v>смотреть</v>
      </c>
      <c r="H617">
        <v>54.924569</v>
      </c>
      <c r="I617">
        <v>73.447337</v>
      </c>
    </row>
    <row r="618">
      <c r="A618">
        <v>617</v>
      </c>
      <c r="B618" t="inlineStr">
        <is>
          <t xml:space="preserve">Новокирпичная, 5 (светофор)</t>
        </is>
      </c>
      <c r="C618" t="inlineStr">
        <is>
          <t xml:space="preserve">Цифровой билборд</t>
        </is>
      </c>
      <c r="D618" t="inlineStr">
        <is>
          <t xml:space="preserve">6×3</t>
        </is>
      </c>
      <c r="E618" t="inlineStr">
        <is>
          <t xml:space="preserve">A1, B1</t>
        </is>
      </c>
      <c r="F618" s="2" t="str">
        <f>HYPERLINK("https://yandex.ru/maps/?pt=73.44917982816716,54.92310822533646&amp;z=17","открыть")</f>
        <v>открыть</v>
      </c>
      <c r="G618" s="2" t="str">
        <f>HYPERLINK("https://mediafasadomsk.com/surfaces/bb-novokirpichnaya-ul-5-svetofor-a-900.jpg","смотреть")</f>
        <v>смотреть</v>
      </c>
      <c r="H618">
        <v>54.92310822533646</v>
      </c>
      <c r="I618">
        <v>73.44917982816716</v>
      </c>
    </row>
    <row r="619">
      <c r="A619">
        <v>618</v>
      </c>
      <c r="B619" t="inlineStr">
        <is>
          <t xml:space="preserve">Новокирпичная, Целинная, 4</t>
        </is>
      </c>
      <c r="C619" t="inlineStr">
        <is>
          <t xml:space="preserve">Билборд</t>
        </is>
      </c>
      <c r="D619" t="inlineStr">
        <is>
          <t xml:space="preserve">6×3</t>
        </is>
      </c>
      <c r="E619" t="inlineStr">
        <is>
          <t xml:space="preserve">A, B</t>
        </is>
      </c>
      <c r="F619" s="2" t="str">
        <f>HYPERLINK("https://yandex.ru/maps/?pt=73.452029,54.920233&amp;z=17","открыть")</f>
        <v>открыть</v>
      </c>
      <c r="G619" s="2" t="str">
        <f>HYPERLINK("https://mediafasadomsk.com/surfaces/bb-novokirpichnaya-ul-celinnaya-ul-4-a-900.jpg","смотреть")</f>
        <v>смотреть</v>
      </c>
      <c r="H619">
        <v>54.920233</v>
      </c>
      <c r="I619">
        <v>73.452029</v>
      </c>
    </row>
    <row r="620">
      <c r="A620">
        <v>619</v>
      </c>
      <c r="B620" t="inlineStr">
        <is>
          <t xml:space="preserve">Новокирпичная, нечётная сторона, 600 м до пересечения с улицей Барабинская</t>
        </is>
      </c>
      <c r="C620" t="inlineStr">
        <is>
          <t xml:space="preserve">Билборд</t>
        </is>
      </c>
      <c r="D620" t="inlineStr">
        <is>
          <t xml:space="preserve">6×3</t>
        </is>
      </c>
      <c r="E620" t="inlineStr">
        <is>
          <t xml:space="preserve">A, B</t>
        </is>
      </c>
      <c r="F620" s="2" t="str">
        <f>HYPERLINK("https://yandex.ru/maps/?pt=73.44270000000003,54.927999999999976&amp;z=17","открыть")</f>
        <v>открыть</v>
      </c>
      <c r="G620" s="2" t="str">
        <f>HYPERLINK("https://mediafasadomsk.com/surfaces/bb-novokirpichnaya-ul-nechetnaya-storona-600-m-do-h-s-ul-barabinskaya-a-900.jpg","смотреть")</f>
        <v>смотреть</v>
      </c>
      <c r="H620">
        <v>54.927999999999976</v>
      </c>
      <c r="I620">
        <v>73.44270000000003</v>
      </c>
    </row>
    <row r="621">
      <c r="A621">
        <v>620</v>
      </c>
      <c r="B621" t="inlineStr">
        <is>
          <t xml:space="preserve">Новокирпичная, нечётная сторона, до пересечения с улицей Станционная 6-я (светофор, ТЦ «АТ-Маркет»)</t>
        </is>
      </c>
      <c r="C621" t="inlineStr">
        <is>
          <t xml:space="preserve">Призматрон</t>
        </is>
      </c>
      <c r="D621" t="inlineStr">
        <is>
          <t xml:space="preserve">6×3</t>
        </is>
      </c>
      <c r="E621" t="inlineStr">
        <is>
          <t xml:space="preserve">A1, B1</t>
        </is>
      </c>
      <c r="F621" s="2" t="str">
        <f>HYPERLINK("https://yandex.ru/maps/?pt=73.4511237816104,54.92138876891272&amp;z=17","открыть")</f>
        <v>открыть</v>
      </c>
      <c r="G621" s="2" t="str">
        <f>HYPERLINK("https://mediafasadomsk.com/surfaces/bb-novokirpichnaya-ul-nechetnaya-storona-do-h-s-ul-stancionnaya-6-ya-svetofor-tc-at-market-a-900.jpg","смотреть")</f>
        <v>смотреть</v>
      </c>
      <c r="H621">
        <v>54.92138876891272</v>
      </c>
      <c r="I621">
        <v>73.4511237816104</v>
      </c>
    </row>
    <row r="622">
      <c r="A622">
        <v>621</v>
      </c>
      <c r="B622" t="inlineStr">
        <is>
          <t xml:space="preserve">Объездная дорога, 120 м до пересечения с улицей Енисейская (светофор, ТЦ «Континент»)</t>
        </is>
      </c>
      <c r="C622" t="inlineStr">
        <is>
          <t xml:space="preserve">Билборд</t>
        </is>
      </c>
      <c r="D622" t="inlineStr">
        <is>
          <t xml:space="preserve">6×3</t>
        </is>
      </c>
      <c r="E622" t="inlineStr">
        <is>
          <t xml:space="preserve">A, B</t>
        </is>
      </c>
      <c r="F622" s="2" t="str">
        <f>HYPERLINK("https://yandex.ru/maps/?pt=73.34049940108886,54.972662178085024&amp;z=17","открыть")</f>
        <v>открыть</v>
      </c>
      <c r="G622" s="2" t="str">
        <f>HYPERLINK("https://mediafasadomsk.com/surfaces/bb-obezdnaya-doroga-120-m-do-h-s-ul-enisejskaya-svetofor-tc-kontinent-a-900.jpg","смотреть")</f>
        <v>смотреть</v>
      </c>
      <c r="H622">
        <v>54.972662178085024</v>
      </c>
      <c r="I622">
        <v>73.34049940108886</v>
      </c>
    </row>
    <row r="623">
      <c r="A623">
        <v>622</v>
      </c>
      <c r="B623" t="inlineStr">
        <is>
          <t xml:space="preserve">Объездная дорога, 930 м до пересечения с улицей Конева (ТЦ «Континент»)</t>
        </is>
      </c>
      <c r="C623" t="inlineStr">
        <is>
          <t xml:space="preserve">Билборд</t>
        </is>
      </c>
      <c r="D623" t="inlineStr">
        <is>
          <t xml:space="preserve">6×3</t>
        </is>
      </c>
      <c r="E623" t="inlineStr">
        <is>
          <t xml:space="preserve">A, B</t>
        </is>
      </c>
      <c r="F623" s="2" t="str">
        <f>HYPERLINK("https://yandex.ru/maps/?pt=73.33057099999996,54.97510200000002&amp;z=17","открыть")</f>
        <v>открыть</v>
      </c>
      <c r="G623" s="2" t="str">
        <f>HYPERLINK("https://mediafasadomsk.com/surfaces/bb-obezdnaya-doroga-930-m-do-h-s-ul-koneva-tc-kontinent-a-900.jpg","смотреть")</f>
        <v>смотреть</v>
      </c>
      <c r="H623">
        <v>54.97510200000002</v>
      </c>
      <c r="I623">
        <v>73.33057099999996</v>
      </c>
    </row>
    <row r="624">
      <c r="A624">
        <v>623</v>
      </c>
      <c r="B624" t="inlineStr">
        <is>
          <t xml:space="preserve">Объездная дорога Торговый город напротив 25 литер Л по улице 70 лет Октября</t>
        </is>
      </c>
      <c r="C624" t="inlineStr">
        <is>
          <t xml:space="preserve">Билборд</t>
        </is>
      </c>
      <c r="D624" t="inlineStr">
        <is>
          <t xml:space="preserve">6×3</t>
        </is>
      </c>
      <c r="E624" t="inlineStr">
        <is>
          <t xml:space="preserve">A, B</t>
        </is>
      </c>
      <c r="F624" s="2" t="str">
        <f>HYPERLINK("https://yandex.ru/maps/?pt=73.332027,54.975183&amp;z=17","открыть")</f>
        <v>открыть</v>
      </c>
      <c r="G624" s="2" t="str">
        <f>HYPERLINK("https://mediafasadomsk.com/surfaces/bb-obezdnaya-doroga-torgovyj-gorod-naprotiv-25-liter-l-po-70-let-oktyabrya-ul-a-900.jpg","смотреть")</f>
        <v>смотреть</v>
      </c>
      <c r="H624">
        <v>54.975183</v>
      </c>
      <c r="I624">
        <v>73.332027</v>
      </c>
    </row>
    <row r="625">
      <c r="A625">
        <v>624</v>
      </c>
      <c r="B625" t="inlineStr">
        <is>
          <t xml:space="preserve">Объездная дорога ТРК Континент (напротив №25к3 на улице 70 лет Октября)</t>
        </is>
      </c>
      <c r="C625" t="inlineStr">
        <is>
          <t xml:space="preserve">Билборд</t>
        </is>
      </c>
      <c r="D625" t="inlineStr">
        <is>
          <t xml:space="preserve">6×3</t>
        </is>
      </c>
      <c r="E625" t="inlineStr">
        <is>
          <t xml:space="preserve">A, B</t>
        </is>
      </c>
      <c r="F625" s="2" t="str">
        <f>HYPERLINK("https://yandex.ru/maps/?pt=73.322126,54.976783&amp;z=17","открыть")</f>
        <v>открыть</v>
      </c>
      <c r="G625" s="2" t="str">
        <f>HYPERLINK("https://mediafasadomsk.com/surfaces/bb-obezdnaya-doroga-trk-kontinent-naprotiv-25k3-na-ulice-70-let-oktyabrya-a-900.jpg","смотреть")</f>
        <v>смотреть</v>
      </c>
      <c r="H625">
        <v>54.976783</v>
      </c>
      <c r="I625">
        <v>73.322126</v>
      </c>
    </row>
    <row r="626">
      <c r="A626">
        <v>625</v>
      </c>
      <c r="B626" t="inlineStr">
        <is>
          <t xml:space="preserve">Октябрьская, напротив дома 104, после пересечения с улицей Герцена (светофор)</t>
        </is>
      </c>
      <c r="C626" t="inlineStr">
        <is>
          <t xml:space="preserve">Билборд</t>
        </is>
      </c>
      <c r="D626" t="inlineStr">
        <is>
          <t xml:space="preserve">6×3</t>
        </is>
      </c>
      <c r="E626" t="inlineStr">
        <is>
          <t xml:space="preserve">A, B</t>
        </is>
      </c>
      <c r="F626" s="2" t="str">
        <f>HYPERLINK("https://yandex.ru/maps/?pt=73.37159999999992,55.00029999999999&amp;z=17","открыть")</f>
        <v>открыть</v>
      </c>
      <c r="G626" s="2" t="str">
        <f>HYPERLINK("https://mediafasadomsk.com/surfaces/bb-oktyabrskaya-ul-104-naprotiv-posle-h-s-ul-gercena-svetofor-a-900.jpg","смотреть")</f>
        <v>смотреть</v>
      </c>
      <c r="H626">
        <v>55.00029999999999</v>
      </c>
      <c r="I626">
        <v>73.37159999999992</v>
      </c>
    </row>
    <row r="627">
      <c r="A627">
        <v>626</v>
      </c>
      <c r="B627" t="inlineStr">
        <is>
          <t xml:space="preserve">Октябрьская, напротив дома 153 (у пересечения с улицей Гусарова)</t>
        </is>
      </c>
      <c r="C627" t="inlineStr">
        <is>
          <t xml:space="preserve">Билборд</t>
        </is>
      </c>
      <c r="D627" t="inlineStr">
        <is>
          <t xml:space="preserve">6×3</t>
        </is>
      </c>
      <c r="E627" t="inlineStr">
        <is>
          <t xml:space="preserve">A, B</t>
        </is>
      </c>
      <c r="F627" s="2" t="str">
        <f>HYPERLINK("https://yandex.ru/maps/?pt=73.38056355731561,54.99863820140377&amp;z=17","открыть")</f>
        <v>открыть</v>
      </c>
      <c r="G627" s="2" t="str">
        <f>HYPERLINK("https://mediafasadomsk.com/surfaces/bb-oktyabrskaya-ul-153-naprotiv-h-s-ul-gusarova-a-900.jpg","смотреть")</f>
        <v>смотреть</v>
      </c>
      <c r="H627">
        <v>54.99863820140377</v>
      </c>
      <c r="I627">
        <v>73.38056355731561</v>
      </c>
    </row>
    <row r="628">
      <c r="A628">
        <v>627</v>
      </c>
      <c r="B628" t="inlineStr">
        <is>
          <t xml:space="preserve">Октябрьская, напротив дома 125</t>
        </is>
      </c>
      <c r="C628" t="inlineStr">
        <is>
          <t xml:space="preserve">Билборд</t>
        </is>
      </c>
      <c r="D628" t="inlineStr">
        <is>
          <t xml:space="preserve">6×3</t>
        </is>
      </c>
      <c r="E628" t="inlineStr">
        <is>
          <t xml:space="preserve">A, B</t>
        </is>
      </c>
      <c r="F628" s="2" t="str">
        <f>HYPERLINK("https://yandex.ru/maps/?pt=73.377467,54.999672&amp;z=17","открыть")</f>
        <v>открыть</v>
      </c>
      <c r="G628" s="2" t="str">
        <f>HYPERLINK("https://mediafasadomsk.com/surfaces/bb-oktyabrskaya-ul-naprotiv-d-125-a-900.jpg","смотреть")</f>
        <v>смотреть</v>
      </c>
      <c r="H628">
        <v>54.999672</v>
      </c>
      <c r="I628">
        <v>73.377467</v>
      </c>
    </row>
    <row r="629">
      <c r="A629">
        <v>628</v>
      </c>
      <c r="B629" t="inlineStr">
        <is>
          <t xml:space="preserve">Омская, 106/1</t>
        </is>
      </c>
      <c r="C629" t="inlineStr">
        <is>
          <t xml:space="preserve">Билборд</t>
        </is>
      </c>
      <c r="D629" t="inlineStr">
        <is>
          <t xml:space="preserve">6×3</t>
        </is>
      </c>
      <c r="E629" t="inlineStr">
        <is>
          <t xml:space="preserve">A, B</t>
        </is>
      </c>
      <c r="F629" s="2" t="str">
        <f>HYPERLINK("https://yandex.ru/maps/?pt=73.402405,54.99042&amp;z=17","открыть")</f>
        <v>открыть</v>
      </c>
      <c r="G629" s="2" t="str">
        <f>HYPERLINK("https://mediafasadomsk.com/surfaces/bb-omskaya-ul-106-1-a-900.jpg","смотреть")</f>
        <v>смотреть</v>
      </c>
      <c r="H629">
        <v>54.99042</v>
      </c>
      <c r="I629">
        <v>73.402405</v>
      </c>
    </row>
    <row r="630">
      <c r="A630">
        <v>629</v>
      </c>
      <c r="B630" t="inlineStr">
        <is>
          <t xml:space="preserve">Омская, напротив дома 107 (светофор)</t>
        </is>
      </c>
      <c r="C630" t="inlineStr">
        <is>
          <t xml:space="preserve">Билборд</t>
        </is>
      </c>
      <c r="D630" t="inlineStr">
        <is>
          <t xml:space="preserve">6×3</t>
        </is>
      </c>
      <c r="E630" t="inlineStr">
        <is>
          <t xml:space="preserve">A, B</t>
        </is>
      </c>
      <c r="F630" s="2" t="str">
        <f>HYPERLINK("https://yandex.ru/maps/?pt=73.4000363943234,54.99035403660743&amp;z=17","открыть")</f>
        <v>открыть</v>
      </c>
      <c r="G630" s="2" t="str">
        <f>HYPERLINK("https://mediafasadomsk.com/surfaces/bb-omskaya-ul-107-naprotiv-svetofor-a-900.jpg","смотреть")</f>
        <v>смотреть</v>
      </c>
      <c r="H630">
        <v>54.99035403660743</v>
      </c>
      <c r="I630">
        <v>73.4000363943234</v>
      </c>
    </row>
    <row r="631">
      <c r="A631">
        <v>630</v>
      </c>
      <c r="B631" t="inlineStr">
        <is>
          <t xml:space="preserve">Омская, 111 (светофор)</t>
        </is>
      </c>
      <c r="C631" t="inlineStr">
        <is>
          <t xml:space="preserve">Билборд</t>
        </is>
      </c>
      <c r="D631" t="inlineStr">
        <is>
          <t xml:space="preserve">6×3</t>
        </is>
      </c>
      <c r="E631" t="inlineStr">
        <is>
          <t xml:space="preserve">A, B</t>
        </is>
      </c>
      <c r="F631" s="2" t="str">
        <f>HYPERLINK("https://yandex.ru/maps/?pt=73.4020282123033,54.99054167631961&amp;z=17","открыть")</f>
        <v>открыть</v>
      </c>
      <c r="G631" s="2" t="str">
        <f>HYPERLINK("https://mediafasadomsk.com/surfaces/bb-omskaya-ul-111-svetofor-a-900.jpg","смотреть")</f>
        <v>смотреть</v>
      </c>
      <c r="H631">
        <v>54.99054167631961</v>
      </c>
      <c r="I631">
        <v>73.4020282123033</v>
      </c>
    </row>
    <row r="632">
      <c r="A632">
        <v>631</v>
      </c>
      <c r="B632" t="inlineStr">
        <is>
          <t xml:space="preserve">Омская, 127</t>
        </is>
      </c>
      <c r="C632" t="inlineStr">
        <is>
          <t xml:space="preserve">Билборд</t>
        </is>
      </c>
      <c r="D632" t="inlineStr">
        <is>
          <t xml:space="preserve">6×3</t>
        </is>
      </c>
      <c r="E632" t="inlineStr">
        <is>
          <t xml:space="preserve">A, B</t>
        </is>
      </c>
      <c r="F632" s="2" t="str">
        <f>HYPERLINK("https://yandex.ru/maps/?pt=73.4069577754629,54.99091266924576&amp;z=17","открыть")</f>
        <v>открыть</v>
      </c>
      <c r="G632" s="2" t="str">
        <f>HYPERLINK("https://mediafasadomsk.com/surfaces/bb-omskaya-ul-127-a-900.jpg","смотреть")</f>
        <v>смотреть</v>
      </c>
      <c r="H632">
        <v>54.99091266924576</v>
      </c>
      <c r="I632">
        <v>73.4069577754629</v>
      </c>
    </row>
    <row r="633">
      <c r="A633">
        <v>632</v>
      </c>
      <c r="B633" t="inlineStr">
        <is>
          <t xml:space="preserve">Омская, 127/1</t>
        </is>
      </c>
      <c r="C633" t="inlineStr">
        <is>
          <t xml:space="preserve">Билборд</t>
        </is>
      </c>
      <c r="D633" t="inlineStr">
        <is>
          <t xml:space="preserve">6×3</t>
        </is>
      </c>
      <c r="E633" t="inlineStr">
        <is>
          <t xml:space="preserve">A</t>
        </is>
      </c>
      <c r="F633" s="2" t="str">
        <f>HYPERLINK("https://yandex.ru/maps/?pt=73.408445,54.991505&amp;z=17","открыть")</f>
        <v>открыть</v>
      </c>
      <c r="G633" s="2" t="str">
        <f>HYPERLINK("https://mediafasadomsk.com/surfaces/bb-omskaya-ul-127-1-a-900.jpg","смотреть")</f>
        <v>смотреть</v>
      </c>
      <c r="H633">
        <v>54.991505</v>
      </c>
      <c r="I633">
        <v>73.408445</v>
      </c>
    </row>
    <row r="634">
      <c r="A634">
        <v>633</v>
      </c>
      <c r="B634" t="inlineStr">
        <is>
          <t xml:space="preserve">Омская, 147А (у пересечения с улицей Шебалдина, светофор)</t>
        </is>
      </c>
      <c r="C634" t="inlineStr">
        <is>
          <t xml:space="preserve">Билборд</t>
        </is>
      </c>
      <c r="D634" t="inlineStr">
        <is>
          <t xml:space="preserve">6×3</t>
        </is>
      </c>
      <c r="E634" t="inlineStr">
        <is>
          <t xml:space="preserve">A, B</t>
        </is>
      </c>
      <c r="F634" s="2" t="str">
        <f>HYPERLINK("https://yandex.ru/maps/?pt=73.41274863600596,54.991147666075115&amp;z=17","открыть")</f>
        <v>открыть</v>
      </c>
      <c r="G634" s="2" t="str">
        <f>HYPERLINK("https://mediafasadomsk.com/surfaces/bb-omskaya-ul-147a-h-s-ul-shebaldina-svetofor-a-900.jpg","смотреть")</f>
        <v>смотреть</v>
      </c>
      <c r="H634">
        <v>54.991147666075115</v>
      </c>
      <c r="I634">
        <v>73.41274863600596</v>
      </c>
    </row>
    <row r="635">
      <c r="A635">
        <v>634</v>
      </c>
      <c r="B635" t="inlineStr">
        <is>
          <t xml:space="preserve">Омская, 67, после пересечения с улицей Куйбышева (светофор)</t>
        </is>
      </c>
      <c r="C635" t="inlineStr">
        <is>
          <t xml:space="preserve">Билборд</t>
        </is>
      </c>
      <c r="D635" t="inlineStr">
        <is>
          <t xml:space="preserve">6×3</t>
        </is>
      </c>
      <c r="E635" t="inlineStr">
        <is>
          <t xml:space="preserve">A, B</t>
        </is>
      </c>
      <c r="F635" s="2" t="str">
        <f>HYPERLINK("https://yandex.ru/maps/?pt=73.39453919147009,54.98983577592523&amp;z=17","открыть")</f>
        <v>открыть</v>
      </c>
      <c r="G635" s="2" t="str">
        <f>HYPERLINK("https://mediafasadomsk.com/surfaces/bb-omskaya-ul-67-posle-h-s-ul-kujbysheva-svetofor-a-900.jpg","смотреть")</f>
        <v>смотреть</v>
      </c>
      <c r="H635">
        <v>54.98983577592523</v>
      </c>
      <c r="I635">
        <v>73.39453919147009</v>
      </c>
    </row>
    <row r="636">
      <c r="A636">
        <v>635</v>
      </c>
      <c r="B636" t="inlineStr">
        <is>
          <t xml:space="preserve">Пересечение Богдана Хмельницкого и Омской (дом 42/1)</t>
        </is>
      </c>
      <c r="C636" t="inlineStr">
        <is>
          <t xml:space="preserve">Билборд</t>
        </is>
      </c>
      <c r="D636" t="inlineStr">
        <is>
          <t xml:space="preserve">6×3</t>
        </is>
      </c>
      <c r="E636" t="inlineStr">
        <is>
          <t xml:space="preserve">A, B</t>
        </is>
      </c>
      <c r="F636" s="2" t="str">
        <f>HYPERLINK("https://yandex.ru/maps/?pt=73.407109,54.990715&amp;z=17","открыть")</f>
        <v>открыть</v>
      </c>
      <c r="G636" s="2" t="str">
        <f>HYPERLINK("https://mediafasadomsk.com/surfaces/bb-omskaya-ul-bogdana-hmelnickogo-ul-42k1-a-900.jpg","смотреть")</f>
        <v>смотреть</v>
      </c>
      <c r="H636">
        <v>54.990715</v>
      </c>
      <c r="I636">
        <v>73.407109</v>
      </c>
    </row>
    <row r="637">
      <c r="A637">
        <v>636</v>
      </c>
      <c r="B637" t="inlineStr">
        <is>
          <t xml:space="preserve">Омская, 136/3</t>
        </is>
      </c>
      <c r="C637" t="inlineStr">
        <is>
          <t xml:space="preserve">Билборд</t>
        </is>
      </c>
      <c r="D637" t="inlineStr">
        <is>
          <t xml:space="preserve">6×3</t>
        </is>
      </c>
      <c r="E637" t="inlineStr">
        <is>
          <t xml:space="preserve">A, B</t>
        </is>
      </c>
      <c r="F637" s="2" t="str">
        <f>HYPERLINK("https://yandex.ru/maps/?pt=73.416353,54.991228&amp;z=17","открыть")</f>
        <v>открыть</v>
      </c>
      <c r="G637" s="2" t="str">
        <f>HYPERLINK("https://mediafasadomsk.com/surfaces/bb-omskaya-ul-d-136-3-a-900.jpg","смотреть")</f>
        <v>смотреть</v>
      </c>
      <c r="H637">
        <v>54.991228</v>
      </c>
      <c r="I637">
        <v>73.416353</v>
      </c>
    </row>
    <row r="638">
      <c r="A638">
        <v>637</v>
      </c>
      <c r="B638" t="inlineStr">
        <is>
          <t xml:space="preserve">Орджоникидзе, 13</t>
        </is>
      </c>
      <c r="C638" t="inlineStr">
        <is>
          <t xml:space="preserve">Цифровой билборд</t>
        </is>
      </c>
      <c r="D638" t="inlineStr">
        <is>
          <t xml:space="preserve">6×3</t>
        </is>
      </c>
      <c r="E638" t="inlineStr">
        <is>
          <t xml:space="preserve">A, B</t>
        </is>
      </c>
      <c r="F638" s="2" t="str">
        <f>HYPERLINK("https://yandex.ru/maps/?pt=73.364464,54.997131&amp;z=17","открыть")</f>
        <v>открыть</v>
      </c>
      <c r="G638" s="2" t="str">
        <f>HYPERLINK("https://mediafasadomsk.com/surfaces/bb-ordzhonikidze-ul-13-a-900.jpg","смотреть")</f>
        <v>смотреть</v>
      </c>
      <c r="H638">
        <v>54.997131</v>
      </c>
      <c r="I638">
        <v>73.364464</v>
      </c>
    </row>
    <row r="639">
      <c r="A639">
        <v>638</v>
      </c>
      <c r="B639" t="inlineStr">
        <is>
          <t xml:space="preserve">Орджоникидзе, 13/1 (светофор)</t>
        </is>
      </c>
      <c r="C639" t="inlineStr">
        <is>
          <t xml:space="preserve">Билборд</t>
        </is>
      </c>
      <c r="D639" t="inlineStr">
        <is>
          <t xml:space="preserve">6×3</t>
        </is>
      </c>
      <c r="E639" t="inlineStr">
        <is>
          <t xml:space="preserve">A, B</t>
        </is>
      </c>
      <c r="F639" s="2" t="str">
        <f>HYPERLINK("https://yandex.ru/maps/?pt=73.36469924173426,54.997884604113516&amp;z=17","открыть")</f>
        <v>открыть</v>
      </c>
      <c r="G639" s="2" t="str">
        <f>HYPERLINK("https://mediafasadomsk.com/surfaces/bb-ordzhonikidze-ul-13k1-svetofor-a-900.jpg","смотреть")</f>
        <v>смотреть</v>
      </c>
      <c r="H639">
        <v>54.997884604113516</v>
      </c>
      <c r="I639">
        <v>73.36469924173426</v>
      </c>
    </row>
    <row r="640">
      <c r="A640">
        <v>639</v>
      </c>
      <c r="B640" t="inlineStr">
        <is>
          <t xml:space="preserve">Орджоникидзе, 177</t>
        </is>
      </c>
      <c r="C640" t="inlineStr">
        <is>
          <t xml:space="preserve">Билборд</t>
        </is>
      </c>
      <c r="D640" t="inlineStr">
        <is>
          <t xml:space="preserve">6×3</t>
        </is>
      </c>
      <c r="E640" t="inlineStr">
        <is>
          <t xml:space="preserve">A, B</t>
        </is>
      </c>
      <c r="F640" s="2" t="str">
        <f>HYPERLINK("https://yandex.ru/maps/?pt=73.36471452016723,55.01589501932359&amp;z=17","открыть")</f>
        <v>открыть</v>
      </c>
      <c r="G640" s="2" t="str">
        <f>HYPERLINK("https://mediafasadomsk.com/surfaces/bb-ordzhonikidze-ul-177-a-900.jpg","смотреть")</f>
        <v>смотреть</v>
      </c>
      <c r="H640">
        <v>55.01589501932359</v>
      </c>
      <c r="I640">
        <v>73.36471452016723</v>
      </c>
    </row>
    <row r="641">
      <c r="A641">
        <v>640</v>
      </c>
      <c r="B641" t="inlineStr">
        <is>
          <t xml:space="preserve">Орджоникидзе, 188</t>
        </is>
      </c>
      <c r="C641" t="inlineStr">
        <is>
          <t xml:space="preserve">Билборд</t>
        </is>
      </c>
      <c r="D641" t="inlineStr">
        <is>
          <t xml:space="preserve">6×3</t>
        </is>
      </c>
      <c r="E641" t="inlineStr">
        <is>
          <t xml:space="preserve">B</t>
        </is>
      </c>
      <c r="F641" s="2" t="str">
        <f>HYPERLINK("https://yandex.ru/maps/?pt=73.36519999999977,55.01499999999998&amp;z=17","открыть")</f>
        <v>открыть</v>
      </c>
      <c r="G641" s="2" t="str">
        <f>HYPERLINK("https://mediafasadomsk.com/surfaces/bb-ordzhonikidze-ul-188-a-900.jpg","смотреть")</f>
        <v>смотреть</v>
      </c>
      <c r="H641">
        <v>55.01499999999998</v>
      </c>
      <c r="I641">
        <v>73.36519999999977</v>
      </c>
    </row>
    <row r="642">
      <c r="A642">
        <v>641</v>
      </c>
      <c r="B642" t="inlineStr">
        <is>
          <t xml:space="preserve">Орджоникидзе, напротив дома 22 (у пересечения с улицей Фрунзе, светофор)</t>
        </is>
      </c>
      <c r="C642" t="inlineStr">
        <is>
          <t xml:space="preserve">Цифровой билборд</t>
        </is>
      </c>
      <c r="D642" t="inlineStr">
        <is>
          <t xml:space="preserve">6×3</t>
        </is>
      </c>
      <c r="E642" t="inlineStr">
        <is>
          <t xml:space="preserve">A1, B1</t>
        </is>
      </c>
      <c r="F642" s="2" t="str">
        <f>HYPERLINK("https://yandex.ru/maps/?pt=73.36454250429937,54.99497404279737&amp;z=17","открыть")</f>
        <v>открыть</v>
      </c>
      <c r="G642" s="2" t="str">
        <f>HYPERLINK("https://mediafasadomsk.com/surfaces/bb-ordzhonikidze-ul-22-naprotiv-h-s-ul-frunze-svetofor-a-900.jpg","смотреть")</f>
        <v>смотреть</v>
      </c>
      <c r="H642">
        <v>54.99497404279737</v>
      </c>
      <c r="I642">
        <v>73.36454250429937</v>
      </c>
    </row>
    <row r="643">
      <c r="A643">
        <v>642</v>
      </c>
      <c r="B643" t="inlineStr">
        <is>
          <t xml:space="preserve">Орджоникидзе, 224</t>
        </is>
      </c>
      <c r="C643" t="inlineStr">
        <is>
          <t xml:space="preserve">Билборд</t>
        </is>
      </c>
      <c r="D643" t="inlineStr">
        <is>
          <t xml:space="preserve">6×3</t>
        </is>
      </c>
      <c r="E643" t="inlineStr">
        <is>
          <t xml:space="preserve">A, B</t>
        </is>
      </c>
      <c r="F643" s="2" t="str">
        <f>HYPERLINK("https://yandex.ru/maps/?pt=73.365324,55.01872&amp;z=17","открыть")</f>
        <v>открыть</v>
      </c>
      <c r="G643" s="2" t="str">
        <f>HYPERLINK("https://mediafasadomsk.com/surfaces/bb-ordzhonikidze-ul-224-a-900.jpg","смотреть")</f>
        <v>смотреть</v>
      </c>
      <c r="H643">
        <v>55.01872</v>
      </c>
      <c r="I643">
        <v>73.365324</v>
      </c>
    </row>
    <row r="644">
      <c r="A644">
        <v>643</v>
      </c>
      <c r="B644" t="inlineStr">
        <is>
          <t xml:space="preserve">Орджоникидзе, напротив дома 85</t>
        </is>
      </c>
      <c r="C644" t="inlineStr">
        <is>
          <t xml:space="preserve">Билборд</t>
        </is>
      </c>
      <c r="D644" t="inlineStr">
        <is>
          <t xml:space="preserve">6×3</t>
        </is>
      </c>
      <c r="E644" t="inlineStr">
        <is>
          <t xml:space="preserve">A, B</t>
        </is>
      </c>
      <c r="F644" s="2" t="str">
        <f>HYPERLINK("https://yandex.ru/maps/?pt=73.36509640244718,55.00492819712157&amp;z=17","открыть")</f>
        <v>открыть</v>
      </c>
      <c r="G644" s="2" t="str">
        <f>HYPERLINK("https://mediafasadomsk.com/surfaces/bb-ordzhonikidze-ul-85-naprotiv-a-900.jpg","смотреть")</f>
        <v>смотреть</v>
      </c>
      <c r="H644">
        <v>55.00492819712157</v>
      </c>
      <c r="I644">
        <v>73.36509640244718</v>
      </c>
    </row>
    <row r="645">
      <c r="A645">
        <v>644</v>
      </c>
      <c r="B645" t="inlineStr">
        <is>
          <t xml:space="preserve">Орджоникидзе, Северная 9-я</t>
        </is>
      </c>
      <c r="C645" t="inlineStr">
        <is>
          <t xml:space="preserve">Билборд</t>
        </is>
      </c>
      <c r="D645" t="inlineStr">
        <is>
          <t xml:space="preserve">6×3</t>
        </is>
      </c>
      <c r="E645" t="inlineStr">
        <is>
          <t xml:space="preserve">A, B</t>
        </is>
      </c>
      <c r="F645" s="2" t="str">
        <f>HYPERLINK("https://yandex.ru/maps/?pt=73.36513,55.010842&amp;z=17","открыть")</f>
        <v>открыть</v>
      </c>
      <c r="G645" s="2" t="str">
        <f>HYPERLINK("https://mediafasadomsk.com/surfaces/bb-ordzhonikidze-ul-severnaya-9-ya-ul-a-900.jpg","смотреть")</f>
        <v>смотреть</v>
      </c>
      <c r="H645">
        <v>55.010842</v>
      </c>
      <c r="I645">
        <v>73.36513</v>
      </c>
    </row>
    <row r="646">
      <c r="A646">
        <v>645</v>
      </c>
      <c r="B646" t="inlineStr">
        <is>
          <t xml:space="preserve">Островская 3-я, Рыбачья 1-я</t>
        </is>
      </c>
      <c r="C646" t="inlineStr">
        <is>
          <t xml:space="preserve">Билборд</t>
        </is>
      </c>
      <c r="D646" t="inlineStr">
        <is>
          <t xml:space="preserve">6×3</t>
        </is>
      </c>
      <c r="E646" t="inlineStr">
        <is>
          <t xml:space="preserve">A</t>
        </is>
      </c>
      <c r="F646" s="2" t="str">
        <f>HYPERLINK("https://yandex.ru/maps/?pt=73.329501,54.993756&amp;z=17","открыть")</f>
        <v>открыть</v>
      </c>
      <c r="G646" s="2" t="str">
        <f>HYPERLINK("https://mediafasadomsk.com/surfaces/bb-ostrovskaya-3-ya-ul-rybachya-1-ya-ul-a-900.jpg","смотреть")</f>
        <v>смотреть</v>
      </c>
      <c r="H646">
        <v>54.993756</v>
      </c>
      <c r="I646">
        <v>73.329501</v>
      </c>
    </row>
    <row r="647">
      <c r="A647">
        <v>646</v>
      </c>
      <c r="B647" t="inlineStr">
        <is>
          <t xml:space="preserve">Панфилова, 4 (светофор)</t>
        </is>
      </c>
      <c r="C647" t="inlineStr">
        <is>
          <t xml:space="preserve">Билборд</t>
        </is>
      </c>
      <c r="D647" t="inlineStr">
        <is>
          <t xml:space="preserve">6×3</t>
        </is>
      </c>
      <c r="E647" t="inlineStr">
        <is>
          <t xml:space="preserve">A, B</t>
        </is>
      </c>
      <c r="F647" s="2" t="str">
        <f>HYPERLINK("https://yandex.ru/maps/?pt=73.39712717294627,54.96320959217429&amp;z=17","открыть")</f>
        <v>открыть</v>
      </c>
      <c r="G647" s="2" t="str">
        <f>HYPERLINK("https://mediafasadomsk.com/surfaces/bb-panfilova-ul-4-svetofor-a-900.jpg","смотреть")</f>
        <v>смотреть</v>
      </c>
      <c r="H647">
        <v>54.96320959217429</v>
      </c>
      <c r="I647">
        <v>73.39712717294627</v>
      </c>
    </row>
    <row r="648">
      <c r="A648">
        <v>647</v>
      </c>
      <c r="B648" t="inlineStr">
        <is>
          <t xml:space="preserve">Перелета, 34, пересечение с улицей Б.Г. Шаронова</t>
        </is>
      </c>
      <c r="C648" t="inlineStr">
        <is>
          <t xml:space="preserve">Билборд</t>
        </is>
      </c>
      <c r="D648" t="inlineStr">
        <is>
          <t xml:space="preserve">6×3</t>
        </is>
      </c>
      <c r="E648" t="inlineStr">
        <is>
          <t xml:space="preserve">A, B</t>
        </is>
      </c>
      <c r="F648" s="2" t="str">
        <f>HYPERLINK("https://yandex.ru/maps/?pt=73.30539750562646,55.00588278382337&amp;z=17","открыть")</f>
        <v>открыть</v>
      </c>
      <c r="G648" s="2" t="str">
        <f>HYPERLINK("https://mediafasadomsk.com/surfaces/bb-pereleta-ul-34-h-s-ul-b-g-sharonova-a-900.jpg","смотреть")</f>
        <v>смотреть</v>
      </c>
      <c r="H648">
        <v>55.00588278382337</v>
      </c>
      <c r="I648">
        <v>73.30539750562646</v>
      </c>
    </row>
    <row r="649">
      <c r="A649">
        <v>648</v>
      </c>
      <c r="B649" t="inlineStr">
        <is>
          <t xml:space="preserve">Перелёта, напротив дома 34</t>
        </is>
      </c>
      <c r="C649" t="inlineStr">
        <is>
          <t xml:space="preserve">Билборд</t>
        </is>
      </c>
      <c r="D649" t="inlineStr">
        <is>
          <t xml:space="preserve">6×3</t>
        </is>
      </c>
      <c r="E649" t="inlineStr">
        <is>
          <t xml:space="preserve">A, B</t>
        </is>
      </c>
      <c r="F649" s="2" t="str">
        <f>HYPERLINK("https://yandex.ru/maps/?pt=73.305937,55.00598&amp;z=17","открыть")</f>
        <v>открыть</v>
      </c>
      <c r="G649" s="2" t="str">
        <f>HYPERLINK("https://mediafasadomsk.com/surfaces/bb-pereleta-ul-34-naprotiv-a-900.jpg","смотреть")</f>
        <v>смотреть</v>
      </c>
      <c r="H649">
        <v>55.00598</v>
      </c>
      <c r="I649">
        <v>73.305937</v>
      </c>
    </row>
    <row r="650">
      <c r="A650">
        <v>649</v>
      </c>
      <c r="B650" t="inlineStr">
        <is>
          <t xml:space="preserve">Перелёта, 5В</t>
        </is>
      </c>
      <c r="C650" t="inlineStr">
        <is>
          <t xml:space="preserve">Билборд</t>
        </is>
      </c>
      <c r="D650" t="inlineStr">
        <is>
          <t xml:space="preserve">6×3</t>
        </is>
      </c>
      <c r="E650" t="inlineStr">
        <is>
          <t xml:space="preserve">A, B</t>
        </is>
      </c>
      <c r="F650" s="2" t="str">
        <f>HYPERLINK("https://yandex.ru/maps/?pt=73.28335861272757,54.991002441111455&amp;z=17","открыть")</f>
        <v>открыть</v>
      </c>
      <c r="G650" s="2" t="str">
        <f>HYPERLINK("https://mediafasadomsk.com/surfaces/bb-pereleta-ul-5v-a-900.jpg","смотреть")</f>
        <v>смотреть</v>
      </c>
      <c r="H650">
        <v>54.991002441111455</v>
      </c>
      <c r="I650">
        <v>73.28335861272757</v>
      </c>
    </row>
    <row r="651">
      <c r="A651">
        <v>650</v>
      </c>
      <c r="B651" t="inlineStr">
        <is>
          <t xml:space="preserve">Перелёта, 6</t>
        </is>
      </c>
      <c r="C651" t="inlineStr">
        <is>
          <t xml:space="preserve">Билборд</t>
        </is>
      </c>
      <c r="D651" t="inlineStr">
        <is>
          <t xml:space="preserve">6×3</t>
        </is>
      </c>
      <c r="E651" t="inlineStr">
        <is>
          <t xml:space="preserve">A, B</t>
        </is>
      </c>
      <c r="F651" s="2" t="str">
        <f>HYPERLINK("https://yandex.ru/maps/?pt=73.2827953488346,54.99081470587403&amp;z=17","открыть")</f>
        <v>открыть</v>
      </c>
      <c r="G651" s="2" t="str">
        <f>HYPERLINK("https://mediafasadomsk.com/surfaces/bb-pereleta-ul-6-a-900.jpg","смотреть")</f>
        <v>смотреть</v>
      </c>
      <c r="H651">
        <v>54.99081470587403</v>
      </c>
      <c r="I651">
        <v>73.2827953488346</v>
      </c>
    </row>
    <row r="652">
      <c r="A652">
        <v>651</v>
      </c>
      <c r="B652" t="inlineStr">
        <is>
          <t xml:space="preserve">Перелёта, 8/1</t>
        </is>
      </c>
      <c r="C652" t="inlineStr">
        <is>
          <t xml:space="preserve">Билборд</t>
        </is>
      </c>
      <c r="D652" t="inlineStr">
        <is>
          <t xml:space="preserve">6×3</t>
        </is>
      </c>
      <c r="E652" t="inlineStr">
        <is>
          <t xml:space="preserve">A, B</t>
        </is>
      </c>
      <c r="F652" s="2" t="str">
        <f>HYPERLINK("https://yandex.ru/maps/?pt=73.28542927808762,54.99255967686499&amp;z=17","открыть")</f>
        <v>открыть</v>
      </c>
      <c r="G652" s="2" t="str">
        <f>HYPERLINK("https://mediafasadomsk.com/surfaces/bb-pereleta-ul-8-1-a-900.jpg","смотреть")</f>
        <v>смотреть</v>
      </c>
      <c r="H652">
        <v>54.99255967686499</v>
      </c>
      <c r="I652">
        <v>73.28542927808762</v>
      </c>
    </row>
    <row r="653">
      <c r="A653">
        <v>652</v>
      </c>
      <c r="B653" t="inlineStr">
        <is>
          <t xml:space="preserve">Перелёта, 8/1 (проспект Комарова)</t>
        </is>
      </c>
      <c r="C653" t="inlineStr">
        <is>
          <t xml:space="preserve">Билборд</t>
        </is>
      </c>
      <c r="D653" t="inlineStr">
        <is>
          <t xml:space="preserve">6×3</t>
        </is>
      </c>
      <c r="E653" t="inlineStr">
        <is>
          <t xml:space="preserve">A, B</t>
        </is>
      </c>
      <c r="F653" s="2" t="str">
        <f>HYPERLINK("https://yandex.ru/maps/?pt=73.286907,54.994136&amp;z=17","открыть")</f>
        <v>открыть</v>
      </c>
      <c r="G653" s="2" t="str">
        <f>HYPERLINK("https://mediafasadomsk.com/surfaces/bb-pereleta-ul-8-1-komarova-ul-a-900.jpg","смотреть")</f>
        <v>смотреть</v>
      </c>
      <c r="H653">
        <v>54.994136</v>
      </c>
      <c r="I653">
        <v>73.286907</v>
      </c>
    </row>
    <row r="654">
      <c r="A654">
        <v>653</v>
      </c>
      <c r="B654" t="inlineStr">
        <is>
          <t xml:space="preserve">Перелёта, напротив дома 8/1 (у пересечения с проспектом Комарова, светофор)</t>
        </is>
      </c>
      <c r="C654" t="inlineStr">
        <is>
          <t xml:space="preserve">Билборд</t>
        </is>
      </c>
      <c r="D654" t="inlineStr">
        <is>
          <t xml:space="preserve">6×3</t>
        </is>
      </c>
      <c r="E654" t="inlineStr">
        <is>
          <t xml:space="preserve">A, B</t>
        </is>
      </c>
      <c r="F654" s="2" t="str">
        <f>HYPERLINK("https://yandex.ru/maps/?pt=73.28758040971721,54.9937660198322&amp;z=17","открыть")</f>
        <v>открыть</v>
      </c>
      <c r="G654" s="2" t="str">
        <f>HYPERLINK("https://mediafasadomsk.com/surfaces/bb-pereleta-ul-8-1-naprotiv-h-s-prospektom-komarova-svetofor-a-900.jpg","смотреть")</f>
        <v>смотреть</v>
      </c>
      <c r="H654">
        <v>54.9937660198322</v>
      </c>
      <c r="I654">
        <v>73.28758040971721</v>
      </c>
    </row>
    <row r="655">
      <c r="A655">
        <v>654</v>
      </c>
      <c r="B655" t="inlineStr">
        <is>
          <t xml:space="preserve">Перелета, чётная сторона, пересечение с проспектом Комарова (светофор, ТЦ «Маяк»)</t>
        </is>
      </c>
      <c r="C655" t="inlineStr">
        <is>
          <t xml:space="preserve">Билборд</t>
        </is>
      </c>
      <c r="D655" t="inlineStr">
        <is>
          <t xml:space="preserve">6×3</t>
        </is>
      </c>
      <c r="E655" t="inlineStr">
        <is>
          <t xml:space="preserve">A, B</t>
        </is>
      </c>
      <c r="F655" s="2" t="str">
        <f>HYPERLINK("https://yandex.ru/maps/?pt=73.287998834324,54.994270708698316&amp;z=17","открыть")</f>
        <v>открыть</v>
      </c>
      <c r="G655" s="2" t="str">
        <f>HYPERLINK("https://mediafasadomsk.com/surfaces/bb-pereleta-ul-chetnaya-storona-h-s-prospektom-komarova-svetofor-tc-mayak-a-900.jpg","смотреть")</f>
        <v>смотреть</v>
      </c>
      <c r="H655">
        <v>54.994270708698316</v>
      </c>
      <c r="I655">
        <v>73.287998834324</v>
      </c>
    </row>
    <row r="656">
      <c r="A656">
        <v>655</v>
      </c>
      <c r="B656" t="inlineStr">
        <is>
          <t xml:space="preserve">Пролетарская 12 ул. - Труда ул., 58 (напротив)</t>
        </is>
      </c>
      <c r="C656" t="inlineStr">
        <is>
          <t xml:space="preserve">Билборд</t>
        </is>
      </c>
      <c r="D656" t="inlineStr">
        <is>
          <t xml:space="preserve">6×3</t>
        </is>
      </c>
      <c r="E656" t="inlineStr">
        <is>
          <t xml:space="preserve">A, B</t>
        </is>
      </c>
      <c r="F656" s="2" t="str">
        <f>HYPERLINK("https://yandex.ru/maps/?pt=73.366609,54.93227&amp;z=17","открыть")</f>
        <v>открыть</v>
      </c>
      <c r="G656" s="2" t="str">
        <f>HYPERLINK("https://mediafasadomsk.com/surfaces/bb-proletarskaya-12-ul-truda-ul-58-naprotiv-a-900.jpg","смотреть")</f>
        <v>смотреть</v>
      </c>
      <c r="H656">
        <v>54.93227</v>
      </c>
      <c r="I656">
        <v>73.366609</v>
      </c>
    </row>
    <row r="657">
      <c r="A657">
        <v>656</v>
      </c>
      <c r="B657" t="inlineStr">
        <is>
          <t xml:space="preserve">Пушкина, 2</t>
        </is>
      </c>
      <c r="C657" t="inlineStr">
        <is>
          <t xml:space="preserve">Билборд</t>
        </is>
      </c>
      <c r="D657" t="inlineStr">
        <is>
          <t xml:space="preserve">6×3</t>
        </is>
      </c>
      <c r="E657" t="inlineStr">
        <is>
          <t xml:space="preserve">A, B</t>
        </is>
      </c>
      <c r="F657" s="2" t="str">
        <f>HYPERLINK("https://yandex.ru/maps/?pt=73.384216,54.986751&amp;z=17","открыть")</f>
        <v>открыть</v>
      </c>
      <c r="G657" s="2" t="str">
        <f>HYPERLINK("https://mediafasadomsk.com/surfaces/bb-pushkina-ul-2-a-900.jpg","смотреть")</f>
        <v>смотреть</v>
      </c>
      <c r="H657">
        <v>54.986751</v>
      </c>
      <c r="I657">
        <v>73.384216</v>
      </c>
    </row>
    <row r="658">
      <c r="A658">
        <v>657</v>
      </c>
      <c r="B658" t="inlineStr">
        <is>
          <t xml:space="preserve">Пушкина, 39, пересечение с улицей Чкалова</t>
        </is>
      </c>
      <c r="C658" t="inlineStr">
        <is>
          <t xml:space="preserve">Билборд</t>
        </is>
      </c>
      <c r="D658" t="inlineStr">
        <is>
          <t xml:space="preserve">6×3</t>
        </is>
      </c>
      <c r="E658" t="inlineStr">
        <is>
          <t xml:space="preserve">A</t>
        </is>
      </c>
      <c r="F658" s="2" t="str">
        <f>HYPERLINK("https://yandex.ru/maps/?pt=73.38579695337286,54.9794766087707&amp;z=17","открыть")</f>
        <v>открыть</v>
      </c>
      <c r="G658" s="2" t="str">
        <f>HYPERLINK("https://mediafasadomsk.com/surfaces/bb-pushkina-ul-39-h-s-ul-chkalova-a-900.jpg","смотреть")</f>
        <v>смотреть</v>
      </c>
      <c r="H658">
        <v>54.9794766087707</v>
      </c>
      <c r="I658">
        <v>73.38579695337286</v>
      </c>
    </row>
    <row r="659">
      <c r="A659">
        <v>658</v>
      </c>
      <c r="B659" t="inlineStr">
        <is>
          <t xml:space="preserve">Пушкина, 57/1 (у пересечения с улицей Красных Зорь, светофор)</t>
        </is>
      </c>
      <c r="C659" t="inlineStr">
        <is>
          <t xml:space="preserve">Цифровой билборд</t>
        </is>
      </c>
      <c r="D659" t="inlineStr">
        <is>
          <t xml:space="preserve">6×3</t>
        </is>
      </c>
      <c r="E659" t="inlineStr">
        <is>
          <t xml:space="preserve">A1, B1</t>
        </is>
      </c>
      <c r="F659" s="2" t="str">
        <f>HYPERLINK("https://yandex.ru/maps/?pt=73.38609999999996,54.97809999999997&amp;z=17","открыть")</f>
        <v>открыть</v>
      </c>
      <c r="G659" s="2" t="str">
        <f>HYPERLINK("https://mediafasadomsk.com/surfaces/bb-pushkina-ul-57-1-h-s-ul-krasnyh-zor-svetofor-a-900.jpg","смотреть")</f>
        <v>смотреть</v>
      </c>
      <c r="H659">
        <v>54.97809999999997</v>
      </c>
      <c r="I659">
        <v>73.38609999999996</v>
      </c>
    </row>
    <row r="660">
      <c r="A660">
        <v>659</v>
      </c>
      <c r="B660" t="inlineStr">
        <is>
          <t xml:space="preserve">Пушкина, 62 (улица Красных Зорь)</t>
        </is>
      </c>
      <c r="C660" t="inlineStr">
        <is>
          <t xml:space="preserve">Цифровой билборд</t>
        </is>
      </c>
      <c r="D660" t="inlineStr">
        <is>
          <t xml:space="preserve">6×3</t>
        </is>
      </c>
      <c r="E660" t="inlineStr">
        <is>
          <t xml:space="preserve">B</t>
        </is>
      </c>
      <c r="F660" s="2" t="str">
        <f>HYPERLINK("https://yandex.ru/maps/?pt=73.385893,54.977977&amp;z=17","открыть")</f>
        <v>открыть</v>
      </c>
      <c r="G660" s="2" t="str">
        <f>HYPERLINK("https://mediafasadomsk.com/surfaces/bb-pushkina-ul-62-krasnyh-zor-ul-a-900.jpg","смотреть")</f>
        <v>смотреть</v>
      </c>
      <c r="H660">
        <v>54.977977</v>
      </c>
      <c r="I660">
        <v>73.385893</v>
      </c>
    </row>
    <row r="661">
      <c r="A661">
        <v>660</v>
      </c>
      <c r="B661" t="inlineStr">
        <is>
          <t xml:space="preserve">Пушкина, напротив дома 99 (светофор)</t>
        </is>
      </c>
      <c r="C661" t="inlineStr">
        <is>
          <t xml:space="preserve">Цифровой билборд</t>
        </is>
      </c>
      <c r="D661" t="inlineStr">
        <is>
          <t xml:space="preserve">6×3</t>
        </is>
      </c>
      <c r="E661" t="inlineStr">
        <is>
          <t xml:space="preserve">A1, B1</t>
        </is>
      </c>
      <c r="F661" s="2" t="str">
        <f>HYPERLINK("https://yandex.ru/maps/?pt=73.38724399999981,54.97225299999998&amp;z=17","открыть")</f>
        <v>открыть</v>
      </c>
      <c r="G661" s="2" t="str">
        <f>HYPERLINK("https://mediafasadomsk.com/surfaces/bb-pushkina-ul-99-naprotiv-svetofor-a-900.jpg","смотреть")</f>
        <v>смотреть</v>
      </c>
      <c r="H661">
        <v>54.97225299999998</v>
      </c>
      <c r="I661">
        <v>73.38724399999981</v>
      </c>
    </row>
    <row r="662">
      <c r="A662">
        <v>661</v>
      </c>
      <c r="B662" t="inlineStr">
        <is>
          <t xml:space="preserve">15-я Рабочая, 24 (светофор)</t>
        </is>
      </c>
      <c r="C662" t="inlineStr">
        <is>
          <t xml:space="preserve">Билборд</t>
        </is>
      </c>
      <c r="D662" t="inlineStr">
        <is>
          <t xml:space="preserve">6×3</t>
        </is>
      </c>
      <c r="E662" t="inlineStr">
        <is>
          <t xml:space="preserve">A, B</t>
        </is>
      </c>
      <c r="F662" s="2" t="str">
        <f>HYPERLINK("https://yandex.ru/maps/?pt=73.4234673495287,54.93973805317596&amp;z=17","открыть")</f>
        <v>открыть</v>
      </c>
      <c r="G662" s="2" t="str">
        <f>HYPERLINK("https://mediafasadomsk.com/surfaces/bb-rabochaya-15-ya-ul-24-svetofor-a-900.jpg","смотреть")</f>
        <v>смотреть</v>
      </c>
      <c r="H662">
        <v>54.93973805317596</v>
      </c>
      <c r="I662">
        <v>73.4234673495287</v>
      </c>
    </row>
    <row r="663">
      <c r="A663">
        <v>662</v>
      </c>
      <c r="B663" t="inlineStr">
        <is>
          <t xml:space="preserve">Рабочая 15-я, 25, пересечение с улицей Харьковская (светофор)</t>
        </is>
      </c>
      <c r="C663" t="inlineStr">
        <is>
          <t xml:space="preserve">Цифровой билборд</t>
        </is>
      </c>
      <c r="D663" t="inlineStr">
        <is>
          <t xml:space="preserve">6×3</t>
        </is>
      </c>
      <c r="E663" t="inlineStr">
        <is>
          <t xml:space="preserve">A1, B1</t>
        </is>
      </c>
      <c r="F663" s="2" t="str">
        <f>HYPERLINK("https://yandex.ru/maps/?pt=73.42190200000002,54.93936099999998&amp;z=17","открыть")</f>
        <v>открыть</v>
      </c>
      <c r="G663" s="2" t="str">
        <f>HYPERLINK("https://mediafasadomsk.com/surfaces/bb-rabochaya-15-ya-ul-25-h-s-ul-harkovskaya-svetofor-a-900.jpg","смотреть")</f>
        <v>смотреть</v>
      </c>
      <c r="H663">
        <v>54.93936099999998</v>
      </c>
      <c r="I663">
        <v>73.42190200000002</v>
      </c>
    </row>
    <row r="664">
      <c r="A664">
        <v>663</v>
      </c>
      <c r="B664" t="inlineStr">
        <is>
          <t xml:space="preserve">15-я Рабочая, 61 (у пересечения с улицей Кирова, светофор)</t>
        </is>
      </c>
      <c r="C664" t="inlineStr">
        <is>
          <t xml:space="preserve">Билборд</t>
        </is>
      </c>
      <c r="D664" t="inlineStr">
        <is>
          <t xml:space="preserve">6×3</t>
        </is>
      </c>
      <c r="E664" t="inlineStr">
        <is>
          <t xml:space="preserve">B</t>
        </is>
      </c>
      <c r="F664" s="2" t="str">
        <f>HYPERLINK("https://yandex.ru/maps/?pt=73.42667970800409,54.94108457452763&amp;z=17","открыть")</f>
        <v>открыть</v>
      </c>
      <c r="G664" s="2" t="str">
        <f>HYPERLINK("https://mediafasadomsk.com/surfaces/bb-rabochaya-15-ya-ul-61-h-s-ul-kirova-svetofor-a-900.jpg","смотреть")</f>
        <v>смотреть</v>
      </c>
      <c r="H664">
        <v>54.94108457452763</v>
      </c>
      <c r="I664">
        <v>73.42667970800409</v>
      </c>
    </row>
    <row r="665">
      <c r="A665">
        <v>664</v>
      </c>
      <c r="B665" t="inlineStr">
        <is>
          <t xml:space="preserve">Пересечение Иртышской набережной и Рождественского (светофор)</t>
        </is>
      </c>
      <c r="C665" t="inlineStr">
        <is>
          <t xml:space="preserve">Билборд</t>
        </is>
      </c>
      <c r="D665" t="inlineStr">
        <is>
          <t xml:space="preserve">6×3</t>
        </is>
      </c>
      <c r="E665" t="inlineStr">
        <is>
          <t xml:space="preserve">A1</t>
        </is>
      </c>
      <c r="F665" s="2" t="str">
        <f>HYPERLINK("https://yandex.ru/maps/?pt=73.37162200000019,54.94241099999999&amp;z=17","открыть")</f>
        <v>открыть</v>
      </c>
      <c r="G665" s="2" t="str">
        <f>HYPERLINK("https://mediafasadomsk.com/surfaces/bb-rozhdestvenskogo-ul-h-s-nab-irtyshskaya-svetofor-a-900.jpg","смотреть")</f>
        <v>смотреть</v>
      </c>
      <c r="H665">
        <v>54.94241099999999</v>
      </c>
      <c r="I665">
        <v>73.37162200000019</v>
      </c>
    </row>
    <row r="666">
      <c r="A666">
        <v>665</v>
      </c>
      <c r="B666" t="inlineStr">
        <is>
          <t xml:space="preserve">2-я Рыбачья, 32</t>
        </is>
      </c>
      <c r="C666" t="inlineStr">
        <is>
          <t xml:space="preserve">Билборд</t>
        </is>
      </c>
      <c r="D666" t="inlineStr">
        <is>
          <t xml:space="preserve">6×3</t>
        </is>
      </c>
      <c r="E666" t="inlineStr">
        <is>
          <t xml:space="preserve">A, B</t>
        </is>
      </c>
      <c r="F666" s="2" t="str">
        <f>HYPERLINK("https://yandex.ru/maps/?pt=73.307598,55.004457&amp;z=17","открыть")</f>
        <v>открыть</v>
      </c>
      <c r="G666" s="2" t="str">
        <f>HYPERLINK("https://mediafasadomsk.com/surfaces/bb-rybachya-2-ya-ul-32-a-900.jpg","смотреть")</f>
        <v>смотреть</v>
      </c>
      <c r="H666">
        <v>55.004457</v>
      </c>
      <c r="I666">
        <v>73.307598</v>
      </c>
    </row>
    <row r="667">
      <c r="A667">
        <v>666</v>
      </c>
      <c r="B667" t="inlineStr">
        <is>
          <t xml:space="preserve">Семиреченская, напротив дома 102</t>
        </is>
      </c>
      <c r="C667" t="inlineStr">
        <is>
          <t xml:space="preserve">Билборд</t>
        </is>
      </c>
      <c r="D667" t="inlineStr">
        <is>
          <t xml:space="preserve">6×3</t>
        </is>
      </c>
      <c r="E667" t="inlineStr">
        <is>
          <t xml:space="preserve">A, B</t>
        </is>
      </c>
      <c r="F667" s="2" t="str">
        <f>HYPERLINK("https://yandex.ru/maps/?pt=73.297931,54.931483&amp;z=17","открыть")</f>
        <v>открыть</v>
      </c>
      <c r="G667" s="2" t="str">
        <f>HYPERLINK("https://mediafasadomsk.com/surfaces/bb-semirechenskaya-ul-102-naprotiv-a-900.jpg","смотреть")</f>
        <v>смотреть</v>
      </c>
      <c r="H667">
        <v>54.931483</v>
      </c>
      <c r="I667">
        <v>73.297931</v>
      </c>
    </row>
    <row r="668">
      <c r="A668">
        <v>667</v>
      </c>
      <c r="B668" t="inlineStr">
        <is>
          <t xml:space="preserve">Семиреченская, 86</t>
        </is>
      </c>
      <c r="C668" t="inlineStr">
        <is>
          <t xml:space="preserve">Билборд</t>
        </is>
      </c>
      <c r="D668" t="inlineStr">
        <is>
          <t xml:space="preserve">6×3</t>
        </is>
      </c>
      <c r="E668" t="inlineStr">
        <is>
          <t xml:space="preserve">A, B</t>
        </is>
      </c>
      <c r="F668" s="2" t="str">
        <f>HYPERLINK("https://yandex.ru/maps/?pt=73.30542833862427,54.932587650130436&amp;z=17","открыть")</f>
        <v>открыть</v>
      </c>
      <c r="G668" s="2" t="str">
        <f>HYPERLINK("https://mediafasadomsk.com/surfaces/bb-semirechenskaya-ul-86-a-900.jpg","смотреть")</f>
        <v>смотреть</v>
      </c>
      <c r="H668">
        <v>54.932587650130436</v>
      </c>
      <c r="I668">
        <v>73.30542833862427</v>
      </c>
    </row>
    <row r="669">
      <c r="A669">
        <v>668</v>
      </c>
      <c r="B669" t="inlineStr">
        <is>
          <t xml:space="preserve">Семиреченская, 89</t>
        </is>
      </c>
      <c r="C669" t="inlineStr">
        <is>
          <t xml:space="preserve">Билборд</t>
        </is>
      </c>
      <c r="D669" t="inlineStr">
        <is>
          <t xml:space="preserve">6×3</t>
        </is>
      </c>
      <c r="E669" t="inlineStr">
        <is>
          <t xml:space="preserve">A, B</t>
        </is>
      </c>
      <c r="F669" s="2" t="str">
        <f>HYPERLINK("https://yandex.ru/maps/?pt=73.30425544180284,54.932554936825575&amp;z=17","открыть")</f>
        <v>открыть</v>
      </c>
      <c r="G669" s="2" t="str">
        <f>HYPERLINK("https://mediafasadomsk.com/surfaces/bb-semirechenskaya-ul-89-a-900.jpg","смотреть")</f>
        <v>смотреть</v>
      </c>
      <c r="H669">
        <v>54.932554936825575</v>
      </c>
      <c r="I669">
        <v>73.30425544180284</v>
      </c>
    </row>
    <row r="670">
      <c r="A670">
        <v>669</v>
      </c>
      <c r="B670" t="inlineStr">
        <is>
          <t xml:space="preserve">Семиреченская, 92А/1</t>
        </is>
      </c>
      <c r="C670" t="inlineStr">
        <is>
          <t xml:space="preserve">Билборд</t>
        </is>
      </c>
      <c r="D670" t="inlineStr">
        <is>
          <t xml:space="preserve">6×3</t>
        </is>
      </c>
      <c r="E670" t="inlineStr">
        <is>
          <t xml:space="preserve">A, B</t>
        </is>
      </c>
      <c r="F670" s="2" t="str">
        <f>HYPERLINK("https://yandex.ru/maps/?pt=73.304349,54.932687&amp;z=17","открыть")</f>
        <v>открыть</v>
      </c>
      <c r="G670" s="2" t="str">
        <f>HYPERLINK("https://mediafasadomsk.com/surfaces/bb-semirechenskaya-ul-92a-k1-a-900.jpg","смотреть")</f>
        <v>смотреть</v>
      </c>
      <c r="H670">
        <v>54.932687</v>
      </c>
      <c r="I670">
        <v>73.304349</v>
      </c>
    </row>
    <row r="671">
      <c r="A671">
        <v>670</v>
      </c>
      <c r="B671" t="inlineStr">
        <is>
          <t xml:space="preserve">Семиреченская, 93/1</t>
        </is>
      </c>
      <c r="C671" t="inlineStr">
        <is>
          <t xml:space="preserve">Билборд</t>
        </is>
      </c>
      <c r="D671" t="inlineStr">
        <is>
          <t xml:space="preserve">6×3</t>
        </is>
      </c>
      <c r="E671" t="inlineStr">
        <is>
          <t xml:space="preserve">A, B</t>
        </is>
      </c>
      <c r="F671" s="2" t="str">
        <f>HYPERLINK("https://yandex.ru/maps/?pt=73.29391157672043,54.93064591591334&amp;z=17","открыть")</f>
        <v>открыть</v>
      </c>
      <c r="G671" s="2" t="str">
        <f>HYPERLINK("https://mediafasadomsk.com/surfaces/bb-semirechenskaya-ul-93-1-a-900.jpg","смотреть")</f>
        <v>смотреть</v>
      </c>
      <c r="H671">
        <v>54.93064591591334</v>
      </c>
      <c r="I671">
        <v>73.29391157672043</v>
      </c>
    </row>
    <row r="672">
      <c r="A672">
        <v>671</v>
      </c>
      <c r="B672" t="inlineStr">
        <is>
          <t xml:space="preserve">24-я Северная, 173</t>
        </is>
      </c>
      <c r="C672" t="inlineStr">
        <is>
          <t xml:space="preserve">Билборд</t>
        </is>
      </c>
      <c r="D672" t="inlineStr">
        <is>
          <t xml:space="preserve">6×3</t>
        </is>
      </c>
      <c r="E672" t="inlineStr">
        <is>
          <t xml:space="preserve">A, B</t>
        </is>
      </c>
      <c r="F672" s="2" t="str">
        <f>HYPERLINK("https://yandex.ru/maps/?pt=73.404328,55.02323&amp;z=17","открыть")</f>
        <v>открыть</v>
      </c>
      <c r="G672" s="2" t="str">
        <f>HYPERLINK("https://mediafasadomsk.com/surfaces/bb-severnaya-24-ya-ul-173-a-900.jpg","смотреть")</f>
        <v>смотреть</v>
      </c>
      <c r="H672">
        <v>55.02323</v>
      </c>
      <c r="I672">
        <v>73.404328</v>
      </c>
    </row>
    <row r="673">
      <c r="A673">
        <v>672</v>
      </c>
      <c r="B673" t="inlineStr">
        <is>
          <t xml:space="preserve">Северная 24-я, напротив дома 173, съезд на улицу Челюскинцев</t>
        </is>
      </c>
      <c r="C673" t="inlineStr">
        <is>
          <t xml:space="preserve">Цифровой билборд</t>
        </is>
      </c>
      <c r="D673" t="inlineStr">
        <is>
          <t xml:space="preserve">6×3</t>
        </is>
      </c>
      <c r="E673" t="inlineStr">
        <is>
          <t xml:space="preserve">A1, B1</t>
        </is>
      </c>
      <c r="F673" s="2" t="str">
        <f>HYPERLINK("https://yandex.ru/maps/?pt=73.40523451605351,55.02309538303447&amp;z=17","открыть")</f>
        <v>открыть</v>
      </c>
      <c r="G673" s="2" t="str">
        <f>HYPERLINK("https://mediafasadomsk.com/surfaces/bb-severnaya-24-ya-ul-173-naprotiv-sezd-na-ul-chelyuskincev-a-900.jpg","смотреть")</f>
        <v>смотреть</v>
      </c>
      <c r="H673">
        <v>55.02309538303447</v>
      </c>
      <c r="I673">
        <v>73.40523451605351</v>
      </c>
    </row>
    <row r="674">
      <c r="A674">
        <v>673</v>
      </c>
      <c r="B674" t="inlineStr">
        <is>
          <t xml:space="preserve">24-я Северная, 198</t>
        </is>
      </c>
      <c r="C674" t="inlineStr">
        <is>
          <t xml:space="preserve">Билборд</t>
        </is>
      </c>
      <c r="D674" t="inlineStr">
        <is>
          <t xml:space="preserve">6×3</t>
        </is>
      </c>
      <c r="E674" t="inlineStr">
        <is>
          <t xml:space="preserve">A, B</t>
        </is>
      </c>
      <c r="F674" s="2" t="str">
        <f>HYPERLINK("https://yandex.ru/maps/?pt=73.391909,55.02326&amp;z=17","открыть")</f>
        <v>открыть</v>
      </c>
      <c r="G674" s="2" t="str">
        <f>HYPERLINK("https://mediafasadomsk.com/surfaces/bb-severnaya-24-ya-ul-198-a-900.jpg","смотреть")</f>
        <v>смотреть</v>
      </c>
      <c r="H674">
        <v>55.02326</v>
      </c>
      <c r="I674">
        <v>73.391909</v>
      </c>
    </row>
    <row r="675">
      <c r="A675">
        <v>674</v>
      </c>
      <c r="B675" t="inlineStr">
        <is>
          <t xml:space="preserve">Северная 24-я, напротив дома 94, съезд на улицу Орджоникидзе (светофор)</t>
        </is>
      </c>
      <c r="C675" t="inlineStr">
        <is>
          <t xml:space="preserve">Цифровой билборд</t>
        </is>
      </c>
      <c r="D675" t="inlineStr">
        <is>
          <t xml:space="preserve">6×3</t>
        </is>
      </c>
      <c r="E675" t="inlineStr">
        <is>
          <t xml:space="preserve">A1, B1</t>
        </is>
      </c>
      <c r="F675" s="2" t="str">
        <f>HYPERLINK("https://yandex.ru/maps/?pt=73.36553177909839,55.023855329144745&amp;z=17","открыть")</f>
        <v>открыть</v>
      </c>
      <c r="G675" s="2" t="str">
        <f>HYPERLINK("https://mediafasadomsk.com/surfaces/bb-severnaya-24-ya-ul-94-naprotiv-sezd-na-ul-ordzhonikidze-svetofor-a-900.jpg","смотреть")</f>
        <v>смотреть</v>
      </c>
      <c r="H675">
        <v>55.023855329144745</v>
      </c>
      <c r="I675">
        <v>73.36553177909839</v>
      </c>
    </row>
    <row r="676">
      <c r="A676">
        <v>675</v>
      </c>
      <c r="B676" t="inlineStr">
        <is>
          <t xml:space="preserve">25-я Северная, 75</t>
        </is>
      </c>
      <c r="C676" t="inlineStr">
        <is>
          <t xml:space="preserve">Билборд</t>
        </is>
      </c>
      <c r="D676" t="inlineStr">
        <is>
          <t xml:space="preserve">6×3</t>
        </is>
      </c>
      <c r="E676" t="inlineStr">
        <is>
          <t xml:space="preserve">A</t>
        </is>
      </c>
      <c r="F676" s="2" t="str">
        <f>HYPERLINK("https://yandex.ru/maps/?pt=73.36130400000022,55.024612&amp;z=17","открыть")</f>
        <v>открыть</v>
      </c>
      <c r="G676" s="2" t="str">
        <f>HYPERLINK("https://mediafasadomsk.com/surfaces/bb-severnaya-25-ya-ul-75-a-900.jpg","смотреть")</f>
        <v>смотреть</v>
      </c>
      <c r="H676">
        <v>55.024612</v>
      </c>
      <c r="I676">
        <v>73.36130400000022</v>
      </c>
    </row>
    <row r="677">
      <c r="A677">
        <v>676</v>
      </c>
      <c r="B677" t="inlineStr">
        <is>
          <t xml:space="preserve">25-я Северная, 82 (светофор)</t>
        </is>
      </c>
      <c r="C677" t="inlineStr">
        <is>
          <t xml:space="preserve">Билборд</t>
        </is>
      </c>
      <c r="D677" t="inlineStr">
        <is>
          <t xml:space="preserve">6×3</t>
        </is>
      </c>
      <c r="E677" t="inlineStr">
        <is>
          <t xml:space="preserve">A</t>
        </is>
      </c>
      <c r="F677" s="2" t="str">
        <f>HYPERLINK("https://yandex.ru/maps/?pt=73.36419542131871,55.02441824740024&amp;z=17","открыть")</f>
        <v>открыть</v>
      </c>
      <c r="G677" s="2" t="str">
        <f>HYPERLINK("https://mediafasadomsk.com/surfaces/bb-severnaya-25-ya-ul-82-svetofor-a-900.jpg","смотреть")</f>
        <v>смотреть</v>
      </c>
      <c r="H677">
        <v>55.02441824740024</v>
      </c>
      <c r="I677">
        <v>73.36419542131871</v>
      </c>
    </row>
    <row r="678">
      <c r="A678">
        <v>677</v>
      </c>
      <c r="B678" t="inlineStr">
        <is>
          <t xml:space="preserve">25-я Северная, 95 (у пересечения с улицей Орджоникидзе, светофор)</t>
        </is>
      </c>
      <c r="C678" t="inlineStr">
        <is>
          <t xml:space="preserve">Билборд</t>
        </is>
      </c>
      <c r="D678" t="inlineStr">
        <is>
          <t xml:space="preserve">6×3</t>
        </is>
      </c>
      <c r="E678" t="inlineStr">
        <is>
          <t xml:space="preserve">A</t>
        </is>
      </c>
      <c r="F678" s="2" t="str">
        <f>HYPERLINK("https://yandex.ru/maps/?pt=73.36482798776699,55.02434462710129&amp;z=17","открыть")</f>
        <v>открыть</v>
      </c>
      <c r="G678" s="2" t="str">
        <f>HYPERLINK("https://mediafasadomsk.com/surfaces/bb-severnaya-25-ya-ul-95-h-s-ul-ordzhonikidze-svetofor-a-900.jpg","смотреть")</f>
        <v>смотреть</v>
      </c>
      <c r="H678">
        <v>55.02434462710129</v>
      </c>
      <c r="I678">
        <v>73.36482798776699</v>
      </c>
    </row>
    <row r="679">
      <c r="A679">
        <v>678</v>
      </c>
      <c r="B679" t="inlineStr">
        <is>
          <t xml:space="preserve">33-я Северная, 122</t>
        </is>
      </c>
      <c r="C679" t="inlineStr">
        <is>
          <t xml:space="preserve">Билборд</t>
        </is>
      </c>
      <c r="D679" t="inlineStr">
        <is>
          <t xml:space="preserve">6×3</t>
        </is>
      </c>
      <c r="E679" t="inlineStr">
        <is>
          <t xml:space="preserve">A, B</t>
        </is>
      </c>
      <c r="F679" s="2" t="str">
        <f>HYPERLINK("https://yandex.ru/maps/?pt=73.406782,55.029622&amp;z=17","открыть")</f>
        <v>открыть</v>
      </c>
      <c r="G679" s="2" t="str">
        <f>HYPERLINK("https://mediafasadomsk.com/surfaces/bb-severnaya-33-ya-ul-122-a-900.jpg","смотреть")</f>
        <v>смотреть</v>
      </c>
      <c r="H679">
        <v>55.029622</v>
      </c>
      <c r="I679">
        <v>73.406782</v>
      </c>
    </row>
    <row r="680">
      <c r="A680">
        <v>679</v>
      </c>
      <c r="B680" t="inlineStr">
        <is>
          <t xml:space="preserve">33-я Северная, 32</t>
        </is>
      </c>
      <c r="C680" t="inlineStr">
        <is>
          <t xml:space="preserve">Билборд</t>
        </is>
      </c>
      <c r="D680" t="inlineStr">
        <is>
          <t xml:space="preserve">6×3</t>
        </is>
      </c>
      <c r="E680" t="inlineStr">
        <is>
          <t xml:space="preserve">A, B</t>
        </is>
      </c>
      <c r="F680" s="2" t="str">
        <f>HYPERLINK("https://yandex.ru/maps/?pt=73.380107,55.030583&amp;z=17","открыть")</f>
        <v>открыть</v>
      </c>
      <c r="G680" s="2" t="str">
        <f>HYPERLINK("https://mediafasadomsk.com/surfaces/bb-severnaya-33-ya-ul-32-a-900.jpg","смотреть")</f>
        <v>смотреть</v>
      </c>
      <c r="H680">
        <v>55.030583</v>
      </c>
      <c r="I680">
        <v>73.380107</v>
      </c>
    </row>
    <row r="681">
      <c r="A681">
        <v>680</v>
      </c>
      <c r="B681" t="inlineStr">
        <is>
          <t xml:space="preserve">7-я Северная, 144</t>
        </is>
      </c>
      <c r="C681" t="inlineStr">
        <is>
          <t xml:space="preserve">Билборд</t>
        </is>
      </c>
      <c r="D681" t="inlineStr">
        <is>
          <t xml:space="preserve">6×3</t>
        </is>
      </c>
      <c r="E681" t="inlineStr">
        <is>
          <t xml:space="preserve">A, B</t>
        </is>
      </c>
      <c r="F681" s="2" t="str">
        <f>HYPERLINK("https://yandex.ru/maps/?pt=73.36767,55.008921&amp;z=17","открыть")</f>
        <v>открыть</v>
      </c>
      <c r="G681" s="2" t="str">
        <f>HYPERLINK("https://mediafasadomsk.com/surfaces/bb-severnaya-7-ya-ul-144-a-900.jpg","смотреть")</f>
        <v>смотреть</v>
      </c>
      <c r="H681">
        <v>55.008921</v>
      </c>
      <c r="I681">
        <v>73.36767</v>
      </c>
    </row>
    <row r="682">
      <c r="A682">
        <v>681</v>
      </c>
      <c r="B682" t="inlineStr">
        <is>
          <t xml:space="preserve">7-я Северная, 192/2 (у пересечения с улицей Герцена, светофор)</t>
        </is>
      </c>
      <c r="C682" t="inlineStr">
        <is>
          <t xml:space="preserve">Билборд</t>
        </is>
      </c>
      <c r="D682" t="inlineStr">
        <is>
          <t xml:space="preserve">6×3</t>
        </is>
      </c>
      <c r="E682" t="inlineStr">
        <is>
          <t xml:space="preserve">A, B</t>
        </is>
      </c>
      <c r="F682" s="2" t="str">
        <f>HYPERLINK("https://yandex.ru/maps/?pt=73.37400000000004,55.00890000000002&amp;z=17","открыть")</f>
        <v>открыть</v>
      </c>
      <c r="G682" s="2" t="str">
        <f>HYPERLINK("https://mediafasadomsk.com/surfaces/bb-severnaya-7-ya-ul-192-2-h-s-ul-gercena-svetofor-a-900.jpg","смотреть")</f>
        <v>смотреть</v>
      </c>
      <c r="H682">
        <v>55.00890000000002</v>
      </c>
      <c r="I682">
        <v>73.37400000000004</v>
      </c>
    </row>
    <row r="683">
      <c r="A683">
        <v>682</v>
      </c>
      <c r="B683" t="inlineStr">
        <is>
          <t xml:space="preserve">7-я Северная, 20 (у пересечения с улицей Волховстроя, светофор)</t>
        </is>
      </c>
      <c r="C683" t="inlineStr">
        <is>
          <t xml:space="preserve">Цифровой билборд</t>
        </is>
      </c>
      <c r="D683" t="inlineStr">
        <is>
          <t xml:space="preserve">6×3</t>
        </is>
      </c>
      <c r="E683" t="inlineStr">
        <is>
          <t xml:space="preserve">A1, B1</t>
        </is>
      </c>
      <c r="F683" s="2" t="str">
        <f>HYPERLINK("https://yandex.ru/maps/?pt=73.35020296497325,55.007505966012836&amp;z=17","открыть")</f>
        <v>открыть</v>
      </c>
      <c r="G683" s="2" t="str">
        <f>HYPERLINK("https://mediafasadomsk.com/surfaces/bb-severnaya-7-ya-ul-20-h-s-ul-volhovstroya-svetofor-a-900.jpg","смотреть")</f>
        <v>смотреть</v>
      </c>
      <c r="H683">
        <v>55.007505966012836</v>
      </c>
      <c r="I683">
        <v>73.35020296497325</v>
      </c>
    </row>
    <row r="684">
      <c r="A684">
        <v>683</v>
      </c>
      <c r="B684" t="inlineStr">
        <is>
          <t xml:space="preserve">Северная 7-я, напротив дома 2А, 100 м до пересечения с улицей Красный Путь (светофор)</t>
        </is>
      </c>
      <c r="C684" t="inlineStr">
        <is>
          <t xml:space="preserve">Билборд</t>
        </is>
      </c>
      <c r="D684" t="inlineStr">
        <is>
          <t xml:space="preserve">6×3</t>
        </is>
      </c>
      <c r="E684" t="inlineStr">
        <is>
          <t xml:space="preserve">A, B</t>
        </is>
      </c>
      <c r="F684" s="2" t="str">
        <f>HYPERLINK("https://yandex.ru/maps/?pt=73.3471345178594,55.00668765709085&amp;z=17","открыть")</f>
        <v>открыть</v>
      </c>
      <c r="G684" s="2" t="str">
        <f>HYPERLINK("https://mediafasadomsk.com/surfaces/bb-severnaya-7-ya-ul-2a-naprotiv-100-m-do-h-s-ul-krasnyj-put-svetofor-a-900.jpg","смотреть")</f>
        <v>смотреть</v>
      </c>
      <c r="H684">
        <v>55.00668765709085</v>
      </c>
      <c r="I684">
        <v>73.3471345178594</v>
      </c>
    </row>
    <row r="685">
      <c r="A685">
        <v>684</v>
      </c>
      <c r="B685" t="inlineStr">
        <is>
          <t xml:space="preserve">7-я Северная, 35</t>
        </is>
      </c>
      <c r="C685" t="inlineStr">
        <is>
          <t xml:space="preserve">Билборд</t>
        </is>
      </c>
      <c r="D685" t="inlineStr">
        <is>
          <t xml:space="preserve">6×3</t>
        </is>
      </c>
      <c r="E685" t="inlineStr">
        <is>
          <t xml:space="preserve">A, B</t>
        </is>
      </c>
      <c r="F685" s="2" t="str">
        <f>HYPERLINK("https://yandex.ru/maps/?pt=73.355628,55.008818&amp;z=17","открыть")</f>
        <v>открыть</v>
      </c>
      <c r="G685" s="2" t="str">
        <f>HYPERLINK("https://mediafasadomsk.com/surfaces/bb-severnaya-7-ya-ul-35-a-900.jpg","смотреть")</f>
        <v>смотреть</v>
      </c>
      <c r="H685">
        <v>55.008818</v>
      </c>
      <c r="I685">
        <v>73.355628</v>
      </c>
    </row>
    <row r="686">
      <c r="A686">
        <v>685</v>
      </c>
      <c r="B686" t="inlineStr">
        <is>
          <t xml:space="preserve">7-я Северная, 5 (у пересечения с улицей Волховстроя, светофор)</t>
        </is>
      </c>
      <c r="C686" t="inlineStr">
        <is>
          <t xml:space="preserve">Призматрон</t>
        </is>
      </c>
      <c r="D686" t="inlineStr">
        <is>
          <t xml:space="preserve">6×3</t>
        </is>
      </c>
      <c r="E686" t="inlineStr">
        <is>
          <t xml:space="preserve">A1</t>
        </is>
      </c>
      <c r="F686" s="2" t="str">
        <f>HYPERLINK("https://yandex.ru/maps/?pt=73.34954850597377,55.00744444096008&amp;z=17","открыть")</f>
        <v>открыть</v>
      </c>
      <c r="G686" s="2" t="str">
        <f>HYPERLINK("https://mediafasadomsk.com/surfaces/bb-severnaya-7-ya-ul-5-h-s-ul-volhovstroya-svetofor-a-900.jpg","смотреть")</f>
        <v>смотреть</v>
      </c>
      <c r="H686">
        <v>55.00744444096008</v>
      </c>
      <c r="I686">
        <v>73.34954850597377</v>
      </c>
    </row>
    <row r="687">
      <c r="A687">
        <v>686</v>
      </c>
      <c r="B687" t="inlineStr">
        <is>
          <t xml:space="preserve">7-я Северная, 5 (у пересечения с улицей Волховстроя, светофор)</t>
        </is>
      </c>
      <c r="C687" t="inlineStr">
        <is>
          <t xml:space="preserve">Билборд</t>
        </is>
      </c>
      <c r="D687" t="inlineStr">
        <is>
          <t xml:space="preserve">6×3</t>
        </is>
      </c>
      <c r="E687" t="inlineStr">
        <is>
          <t xml:space="preserve">B</t>
        </is>
      </c>
      <c r="F687" s="2" t="str">
        <f>HYPERLINK("https://yandex.ru/maps/?pt=73.34954850597377,55.00744444096008&amp;z=17","открыть")</f>
        <v>открыть</v>
      </c>
      <c r="G687" s="2" t="str">
        <f>HYPERLINK("https://mediafasadomsk.com/surfaces/bb-severnaya-7-ya-ul-5-h-s-ul-volhovstroya-svetofor-b-a-900.jpg","смотреть")</f>
        <v>смотреть</v>
      </c>
      <c r="H687">
        <v>55.00744444096008</v>
      </c>
      <c r="I687">
        <v>73.34954850597377</v>
      </c>
    </row>
    <row r="688">
      <c r="A688">
        <v>687</v>
      </c>
      <c r="B688" t="inlineStr">
        <is>
          <t xml:space="preserve">Северная 7-я, чётная сторона, после пересечения с улицей Красный Путь (светофор)</t>
        </is>
      </c>
      <c r="C688" t="inlineStr">
        <is>
          <t xml:space="preserve">Призматрон</t>
        </is>
      </c>
      <c r="D688" t="inlineStr">
        <is>
          <t xml:space="preserve">6×3</t>
        </is>
      </c>
      <c r="E688" t="inlineStr">
        <is>
          <t xml:space="preserve">A1</t>
        </is>
      </c>
      <c r="F688" s="2" t="str">
        <f>HYPERLINK("https://yandex.ru/maps/?pt=73.34647599999998,55.00629499999998&amp;z=17","открыть")</f>
        <v>открыть</v>
      </c>
      <c r="G688" s="2" t="str">
        <f>HYPERLINK("https://mediafasadomsk.com/surfaces/bb-severnaya-7-ya-ul-chetnaya-storona-posle-h-s-ul-krasnyj-put-svetofor-a-900.jpg","смотреть")</f>
        <v>смотреть</v>
      </c>
      <c r="H688">
        <v>55.00629499999998</v>
      </c>
      <c r="I688">
        <v>73.34647599999998</v>
      </c>
    </row>
    <row r="689">
      <c r="A689">
        <v>688</v>
      </c>
      <c r="B689" t="inlineStr">
        <is>
          <t xml:space="preserve">Северная 7-я, чётная сторона, после пересечения с улицей Красный Путь (светофор)</t>
        </is>
      </c>
      <c r="C689" t="inlineStr">
        <is>
          <t xml:space="preserve">Билборд</t>
        </is>
      </c>
      <c r="D689" t="inlineStr">
        <is>
          <t xml:space="preserve">6×3</t>
        </is>
      </c>
      <c r="E689" t="inlineStr">
        <is>
          <t xml:space="preserve">B</t>
        </is>
      </c>
      <c r="F689" s="2" t="str">
        <f>HYPERLINK("https://yandex.ru/maps/?pt=73.34647599999998,55.00629499999998&amp;z=17","открыть")</f>
        <v>открыть</v>
      </c>
      <c r="G689" s="2" t="str">
        <f>HYPERLINK("https://mediafasadomsk.com/surfaces/bb-severnaya-7-ya-ul-chetnaya-storona-posle-h-s-ul-krasnyj-put-svetofor-b-a-900.jpg","смотреть")</f>
        <v>смотреть</v>
      </c>
      <c r="H689">
        <v>55.00629499999998</v>
      </c>
      <c r="I689">
        <v>73.34647599999998</v>
      </c>
    </row>
    <row r="690">
      <c r="A690">
        <v>689</v>
      </c>
      <c r="B690" t="inlineStr">
        <is>
          <t xml:space="preserve">Шаронова, 23</t>
        </is>
      </c>
      <c r="C690" t="inlineStr">
        <is>
          <t xml:space="preserve">Билборд</t>
        </is>
      </c>
      <c r="D690" t="inlineStr">
        <is>
          <t xml:space="preserve">6×3</t>
        </is>
      </c>
      <c r="E690" t="inlineStr">
        <is>
          <t xml:space="preserve">A, B</t>
        </is>
      </c>
      <c r="F690" s="2" t="str">
        <f>HYPERLINK("https://yandex.ru/maps/?pt=73.30921017069146,55.002895580308525&amp;z=17","открыть")</f>
        <v>открыть</v>
      </c>
      <c r="G690" s="2" t="str">
        <f>HYPERLINK("https://mediafasadomsk.com/surfaces/bb-sharonova-b-g-ul-23-a-900.jpg","смотреть")</f>
        <v>смотреть</v>
      </c>
      <c r="H690">
        <v>55.002895580308525</v>
      </c>
      <c r="I690">
        <v>73.30921017069146</v>
      </c>
    </row>
    <row r="691">
      <c r="A691">
        <v>690</v>
      </c>
      <c r="B691" t="inlineStr">
        <is>
          <t xml:space="preserve">Шебалдина, напротив дома 32А</t>
        </is>
      </c>
      <c r="C691" t="inlineStr">
        <is>
          <t xml:space="preserve">Билборд</t>
        </is>
      </c>
      <c r="D691" t="inlineStr">
        <is>
          <t xml:space="preserve">6×3</t>
        </is>
      </c>
      <c r="E691" t="inlineStr">
        <is>
          <t xml:space="preserve">A</t>
        </is>
      </c>
      <c r="F691" s="2" t="str">
        <f>HYPERLINK("https://yandex.ru/maps/?pt=73.412141,54.989996&amp;z=17","открыть")</f>
        <v>открыть</v>
      </c>
      <c r="G691" s="2" t="str">
        <f>HYPERLINK("https://mediafasadomsk.com/surfaces/bb-shebaldina-ul-32a-naprotiv-a-900.jpg","смотреть")</f>
        <v>смотреть</v>
      </c>
      <c r="H691">
        <v>54.989996</v>
      </c>
      <c r="I691">
        <v>73.412141</v>
      </c>
    </row>
    <row r="692">
      <c r="A692">
        <v>691</v>
      </c>
      <c r="B692" t="inlineStr">
        <is>
          <t xml:space="preserve">Сибирский проспект, напротив дома 7</t>
        </is>
      </c>
      <c r="C692" t="inlineStr">
        <is>
          <t xml:space="preserve">Билборд</t>
        </is>
      </c>
      <c r="D692" t="inlineStr">
        <is>
          <t xml:space="preserve">6×3</t>
        </is>
      </c>
      <c r="E692" t="inlineStr">
        <is>
          <t xml:space="preserve">A, B</t>
        </is>
      </c>
      <c r="F692" s="2" t="str">
        <f>HYPERLINK("https://yandex.ru/maps/?pt=73.456778,54.913536&amp;z=17","открыть")</f>
        <v>открыть</v>
      </c>
      <c r="G692" s="2" t="str">
        <f>HYPERLINK("https://mediafasadomsk.com/surfaces/bb-sibirskij-pr-7-naprotiv-a-900.jpg","смотреть")</f>
        <v>смотреть</v>
      </c>
      <c r="H692">
        <v>54.913536</v>
      </c>
      <c r="I692">
        <v>73.456778</v>
      </c>
    </row>
    <row r="693">
      <c r="A693">
        <v>692</v>
      </c>
      <c r="B693" t="inlineStr">
        <is>
          <t xml:space="preserve">Сибирский проспект, Моторная</t>
        </is>
      </c>
      <c r="C693" t="inlineStr">
        <is>
          <t xml:space="preserve">Цифровой билборд</t>
        </is>
      </c>
      <c r="D693" t="inlineStr">
        <is>
          <t xml:space="preserve">6×3</t>
        </is>
      </c>
      <c r="E693" t="inlineStr">
        <is>
          <t xml:space="preserve">A</t>
        </is>
      </c>
      <c r="F693" s="2" t="str">
        <f>HYPERLINK("https://yandex.ru/maps/?pt=73.456651,54.912056&amp;z=17","открыть")</f>
        <v>открыть</v>
      </c>
      <c r="G693" s="2" t="str">
        <f>HYPERLINK("https://mediafasadomsk.com/surfaces/bb-sibirskij-pr-motornaya-ul-a-900.jpg","смотреть")</f>
        <v>смотреть</v>
      </c>
      <c r="H693">
        <v>54.912056</v>
      </c>
      <c r="I693">
        <v>73.456651</v>
      </c>
    </row>
    <row r="694">
      <c r="A694">
        <v>693</v>
      </c>
      <c r="B694" t="inlineStr">
        <is>
          <t xml:space="preserve">Сибирский проспект, Моторная</t>
        </is>
      </c>
      <c r="C694" t="inlineStr">
        <is>
          <t xml:space="preserve">Билборд</t>
        </is>
      </c>
      <c r="D694" t="inlineStr">
        <is>
          <t xml:space="preserve">6×3</t>
        </is>
      </c>
      <c r="E694" t="inlineStr">
        <is>
          <t xml:space="preserve">B</t>
        </is>
      </c>
      <c r="F694" s="2" t="str">
        <f>HYPERLINK("https://yandex.ru/maps/?pt=73.456651,54.912056&amp;z=17","открыть")</f>
        <v>открыть</v>
      </c>
      <c r="G694" s="2" t="str">
        <f>HYPERLINK("https://mediafasadomsk.com/surfaces/bb-sibirskij-pr-motornaya-ul-b-a-900.jpg","смотреть")</f>
        <v>смотреть</v>
      </c>
      <c r="H694">
        <v>54.912056</v>
      </c>
      <c r="I694">
        <v>73.456651</v>
      </c>
    </row>
    <row r="695">
      <c r="A695">
        <v>694</v>
      </c>
      <c r="B695" t="inlineStr">
        <is>
          <t xml:space="preserve">Сибирский проспект, 1А (развилка на АЗС)</t>
        </is>
      </c>
      <c r="C695" t="inlineStr">
        <is>
          <t xml:space="preserve">Билборд</t>
        </is>
      </c>
      <c r="D695" t="inlineStr">
        <is>
          <t xml:space="preserve">6×3</t>
        </is>
      </c>
      <c r="E695" t="inlineStr">
        <is>
          <t xml:space="preserve">A, B</t>
        </is>
      </c>
      <c r="F695" s="2" t="str">
        <f>HYPERLINK("https://yandex.ru/maps/?pt=73.457069,54.915875&amp;z=17","открыть")</f>
        <v>открыть</v>
      </c>
      <c r="G695" s="2" t="str">
        <f>HYPERLINK("https://mediafasadomsk.com/surfaces/bb-sibirskij-pr-t-d-1a-razvilka-na-azs-a-900.jpg","смотреть")</f>
        <v>смотреть</v>
      </c>
      <c r="H695">
        <v>54.915875</v>
      </c>
      <c r="I695">
        <v>73.457069</v>
      </c>
    </row>
    <row r="696">
      <c r="A696">
        <v>695</v>
      </c>
      <c r="B696" t="inlineStr">
        <is>
          <t xml:space="preserve">Сибирский проспект, 12 (светофор, «Гипер Лента»)</t>
        </is>
      </c>
      <c r="C696" t="inlineStr">
        <is>
          <t xml:space="preserve">Билборд</t>
        </is>
      </c>
      <c r="D696" t="inlineStr">
        <is>
          <t xml:space="preserve">6×3</t>
        </is>
      </c>
      <c r="E696" t="inlineStr">
        <is>
          <t xml:space="preserve">A, B</t>
        </is>
      </c>
      <c r="F696" s="2" t="str">
        <f>HYPERLINK("https://yandex.ru/maps/?pt=73.45681071298777,54.910355728443704&amp;z=17","открыть")</f>
        <v>открыть</v>
      </c>
      <c r="G696" s="2" t="str">
        <f>HYPERLINK("https://mediafasadomsk.com/surfaces/bb-sibirskij-prospekt-12-svetofor-giper-lenta-a-900.jpg","смотреть")</f>
        <v>смотреть</v>
      </c>
      <c r="H696">
        <v>54.910355728443704</v>
      </c>
      <c r="I696">
        <v>73.45681071298777</v>
      </c>
    </row>
    <row r="697">
      <c r="A697">
        <v>696</v>
      </c>
      <c r="B697" t="inlineStr">
        <is>
          <t xml:space="preserve">Солнечная 2-я, 39 Б</t>
        </is>
      </c>
      <c r="C697" t="inlineStr">
        <is>
          <t xml:space="preserve">Билборд</t>
        </is>
      </c>
      <c r="D697" t="inlineStr">
        <is>
          <t xml:space="preserve">6×3</t>
        </is>
      </c>
      <c r="E697" t="inlineStr">
        <is>
          <t xml:space="preserve">A, B</t>
        </is>
      </c>
      <c r="F697" s="2" t="str">
        <f>HYPERLINK("https://yandex.ru/maps/?pt=73.201498,55.001674&amp;z=17","открыть")</f>
        <v>открыть</v>
      </c>
      <c r="G697" s="2" t="str">
        <f>HYPERLINK("https://mediafasadomsk.com/surfaces/bb-solnechnaya-2-ya-ul-39-b-a-900.jpg","смотреть")</f>
        <v>смотреть</v>
      </c>
      <c r="H697">
        <v>55.001674</v>
      </c>
      <c r="I697">
        <v>73.201498</v>
      </c>
    </row>
    <row r="698">
      <c r="A698">
        <v>697</v>
      </c>
      <c r="B698" t="inlineStr">
        <is>
          <t xml:space="preserve">Солнечная 2-я, напротив дома 42А, пересечение с улицей Ивана Багнюка (светофор)</t>
        </is>
      </c>
      <c r="C698" t="inlineStr">
        <is>
          <t xml:space="preserve">Билборд</t>
        </is>
      </c>
      <c r="D698" t="inlineStr">
        <is>
          <t xml:space="preserve">6×3</t>
        </is>
      </c>
      <c r="E698" t="inlineStr">
        <is>
          <t xml:space="preserve">A, B</t>
        </is>
      </c>
      <c r="F698" s="2" t="str">
        <f>HYPERLINK("https://yandex.ru/maps/?pt=73.206456023771,54.999364635249165&amp;z=17","открыть")</f>
        <v>открыть</v>
      </c>
      <c r="G698" s="2" t="str">
        <f>HYPERLINK("https://mediafasadomsk.com/surfaces/bb-solnechnaya-2-ya-ul-42a-naprotiv-h-s-ul-ivana-bagnyuka-svetofor-a-900.jpg","смотреть")</f>
        <v>смотреть</v>
      </c>
      <c r="H698">
        <v>54.999364635249165</v>
      </c>
      <c r="I698">
        <v>73.206456023771</v>
      </c>
    </row>
    <row r="699">
      <c r="A699">
        <v>698</v>
      </c>
      <c r="B699" t="inlineStr">
        <is>
          <t xml:space="preserve">2-я Солнечная, напротив дома 48</t>
        </is>
      </c>
      <c r="C699" t="inlineStr">
        <is>
          <t xml:space="preserve">Билборд</t>
        </is>
      </c>
      <c r="D699" t="inlineStr">
        <is>
          <t xml:space="preserve">6×3</t>
        </is>
      </c>
      <c r="E699" t="inlineStr">
        <is>
          <t xml:space="preserve">A</t>
        </is>
      </c>
      <c r="F699" s="2" t="str">
        <f>HYPERLINK("https://yandex.ru/maps/?pt=73.196844,55.003968&amp;z=17","открыть")</f>
        <v>открыть</v>
      </c>
      <c r="G699" s="2" t="str">
        <f>HYPERLINK("https://mediafasadomsk.com/surfaces/bb-solnechnaya-2-ya-ul-48-naprotiv-a-900.jpg","смотреть")</f>
        <v>смотреть</v>
      </c>
      <c r="H699">
        <v>55.003968</v>
      </c>
      <c r="I699">
        <v>73.196844</v>
      </c>
    </row>
    <row r="700">
      <c r="A700">
        <v>699</v>
      </c>
      <c r="B700" t="inlineStr">
        <is>
          <t xml:space="preserve">2-я Солнечная, 52</t>
        </is>
      </c>
      <c r="C700" t="inlineStr">
        <is>
          <t xml:space="preserve">Билборд</t>
        </is>
      </c>
      <c r="D700" t="inlineStr">
        <is>
          <t xml:space="preserve">6×3</t>
        </is>
      </c>
      <c r="E700" t="inlineStr">
        <is>
          <t xml:space="preserve">A, B</t>
        </is>
      </c>
      <c r="F700" s="2" t="str">
        <f>HYPERLINK("https://yandex.ru/maps/?pt=73.19322399999977,55.005913000000014&amp;z=17","открыть")</f>
        <v>открыть</v>
      </c>
      <c r="G700" s="2" t="str">
        <f>HYPERLINK("https://mediafasadomsk.com/surfaces/bb-solnechnaya-2-ya-ul-52-a-900.jpg","смотреть")</f>
        <v>смотреть</v>
      </c>
      <c r="H700">
        <v>55.005913000000014</v>
      </c>
      <c r="I700">
        <v>73.19322399999977</v>
      </c>
    </row>
    <row r="701">
      <c r="A701">
        <v>700</v>
      </c>
      <c r="B701" t="inlineStr">
        <is>
          <t xml:space="preserve">2-я Солнечная, 44Б/1</t>
        </is>
      </c>
      <c r="C701" t="inlineStr">
        <is>
          <t xml:space="preserve">Билборд</t>
        </is>
      </c>
      <c r="D701" t="inlineStr">
        <is>
          <t xml:space="preserve">6×3</t>
        </is>
      </c>
      <c r="E701" t="inlineStr">
        <is>
          <t xml:space="preserve">A, B</t>
        </is>
      </c>
      <c r="F701" s="2" t="str">
        <f>HYPERLINK("https://yandex.ru/maps/?pt=73.188275,55.00777&amp;z=17","открыть")</f>
        <v>открыть</v>
      </c>
      <c r="G701" s="2" t="str">
        <f>HYPERLINK("https://mediafasadomsk.com/surfaces/bb-solnechnaya-2-ya-ul-d-44b-1-a-900.jpg","смотреть")</f>
        <v>смотреть</v>
      </c>
      <c r="H701">
        <v>55.00777</v>
      </c>
      <c r="I701">
        <v>73.188275</v>
      </c>
    </row>
    <row r="702">
      <c r="A702">
        <v>701</v>
      </c>
      <c r="B702" t="inlineStr">
        <is>
          <t xml:space="preserve">Пересечение 2-й Солнечной и Волгоградской</t>
        </is>
      </c>
      <c r="C702" t="inlineStr">
        <is>
          <t xml:space="preserve">Билборд</t>
        </is>
      </c>
      <c r="D702" t="inlineStr">
        <is>
          <t xml:space="preserve">6×3</t>
        </is>
      </c>
      <c r="E702" t="inlineStr">
        <is>
          <t xml:space="preserve">A</t>
        </is>
      </c>
      <c r="F702" s="2" t="str">
        <f>HYPERLINK("https://yandex.ru/maps/?pt=73.209427,54.998208&amp;z=17","открыть")</f>
        <v>открыть</v>
      </c>
      <c r="G702" s="2" t="str">
        <f>HYPERLINK("https://mediafasadomsk.com/surfaces/bb-solnechnaya-2-ya-ul-volgogradskaya-ul-a-900.jpg","смотреть")</f>
        <v>смотреть</v>
      </c>
      <c r="H702">
        <v>54.998208</v>
      </c>
      <c r="I702">
        <v>73.209427</v>
      </c>
    </row>
    <row r="703">
      <c r="A703">
        <v>702</v>
      </c>
      <c r="B703" t="inlineStr">
        <is>
          <t xml:space="preserve">6-я Станционная, 2/3 (светофор, ТЦ «АТ-Маркет»)</t>
        </is>
      </c>
      <c r="C703" t="inlineStr">
        <is>
          <t xml:space="preserve">Билборд</t>
        </is>
      </c>
      <c r="D703" t="inlineStr">
        <is>
          <t xml:space="preserve">6×3</t>
        </is>
      </c>
      <c r="E703" t="inlineStr">
        <is>
          <t xml:space="preserve">A, B</t>
        </is>
      </c>
      <c r="F703" s="2" t="str">
        <f>HYPERLINK("https://yandex.ru/maps/?pt=73.45927987830319,54.92280788093497&amp;z=17","открыть")</f>
        <v>открыть</v>
      </c>
      <c r="G703" s="2" t="str">
        <f>HYPERLINK("https://mediafasadomsk.com/surfaces/bb-stancionnaya-6-ya-ul-2-3-svetofor-tc-at-market-a-900.jpg","смотреть")</f>
        <v>смотреть</v>
      </c>
      <c r="H703">
        <v>54.92280788093497</v>
      </c>
      <c r="I703">
        <v>73.45927987830319</v>
      </c>
    </row>
    <row r="704">
      <c r="A704">
        <v>703</v>
      </c>
      <c r="B704" t="inlineStr">
        <is>
          <t xml:space="preserve">6-я Станционная, 2/2 (у пересечения с улицей Новокирпичная, светофор, ТЦ «АТ-Маркет»)</t>
        </is>
      </c>
      <c r="C704" t="inlineStr">
        <is>
          <t xml:space="preserve">Цифровой билборд</t>
        </is>
      </c>
      <c r="D704" t="inlineStr">
        <is>
          <t xml:space="preserve">6×3</t>
        </is>
      </c>
      <c r="E704" t="inlineStr">
        <is>
          <t xml:space="preserve">A1</t>
        </is>
      </c>
      <c r="F704" s="2" t="str">
        <f>HYPERLINK("https://yandex.ru/maps/?pt=73.4505256486846,54.92195296124369&amp;z=17","открыть")</f>
        <v>открыть</v>
      </c>
      <c r="G704" s="2" t="str">
        <f>HYPERLINK("https://mediafasadomsk.com/surfaces/bb-stancionnaya-6-ya-ul-2k2-h-s-ul-novokirpichnaya-svetofor-tc-at-market-a-900.jpg","смотреть")</f>
        <v>смотреть</v>
      </c>
      <c r="H704">
        <v>54.92195296124369</v>
      </c>
      <c r="I704">
        <v>73.4505256486846</v>
      </c>
    </row>
    <row r="705">
      <c r="A705">
        <v>704</v>
      </c>
      <c r="B705" t="inlineStr">
        <is>
          <t xml:space="preserve">6-я Станционная, напротив дома 5</t>
        </is>
      </c>
      <c r="C705" t="inlineStr">
        <is>
          <t xml:space="preserve">Билборд</t>
        </is>
      </c>
      <c r="D705" t="inlineStr">
        <is>
          <t xml:space="preserve">6×3</t>
        </is>
      </c>
      <c r="E705" t="inlineStr">
        <is>
          <t xml:space="preserve">A, B</t>
        </is>
      </c>
      <c r="F705" s="2" t="str">
        <f>HYPERLINK("https://yandex.ru/maps/?pt=73.454021,54.922181&amp;z=17","открыть")</f>
        <v>открыть</v>
      </c>
      <c r="G705" s="2" t="str">
        <f>HYPERLINK("https://mediafasadomsk.com/surfaces/bb-stancionnaya-6-ya-ul-d-5-naprotiv-a-900.jpg","смотреть")</f>
        <v>смотреть</v>
      </c>
      <c r="H705">
        <v>54.922181</v>
      </c>
      <c r="I705">
        <v>73.454021</v>
      </c>
    </row>
    <row r="706">
      <c r="A706">
        <v>705</v>
      </c>
      <c r="B706" t="inlineStr">
        <is>
          <t xml:space="preserve">Степанца, 10</t>
        </is>
      </c>
      <c r="C706" t="inlineStr">
        <is>
          <t xml:space="preserve">Билборд</t>
        </is>
      </c>
      <c r="D706" t="inlineStr">
        <is>
          <t xml:space="preserve">6×3</t>
        </is>
      </c>
      <c r="E706" t="inlineStr">
        <is>
          <t xml:space="preserve">A, B</t>
        </is>
      </c>
      <c r="F706" s="2" t="str">
        <f>HYPERLINK("https://yandex.ru/maps/?pt=73.285525,54.998215&amp;z=17","открыть")</f>
        <v>открыть</v>
      </c>
      <c r="G706" s="2" t="str">
        <f>HYPERLINK("https://mediafasadomsk.com/surfaces/bb-stepanca-ul-10-a-900.jpg","смотреть")</f>
        <v>смотреть</v>
      </c>
      <c r="H706">
        <v>54.998215</v>
      </c>
      <c r="I706">
        <v>73.285525</v>
      </c>
    </row>
    <row r="707">
      <c r="A707">
        <v>706</v>
      </c>
      <c r="B707" t="inlineStr">
        <is>
          <t xml:space="preserve">Степанца, 10/4</t>
        </is>
      </c>
      <c r="C707" t="inlineStr">
        <is>
          <t xml:space="preserve">Билборд</t>
        </is>
      </c>
      <c r="D707" t="inlineStr">
        <is>
          <t xml:space="preserve">6×3</t>
        </is>
      </c>
      <c r="E707" t="inlineStr">
        <is>
          <t xml:space="preserve">A, B</t>
        </is>
      </c>
      <c r="F707" s="2" t="str">
        <f>HYPERLINK("https://yandex.ru/maps/?pt=73.28707,54.997426&amp;z=17","открыть")</f>
        <v>открыть</v>
      </c>
      <c r="G707" s="2" t="str">
        <f>HYPERLINK("https://mediafasadomsk.com/surfaces/bb-stepanca-ul-10-4-a-900.jpg","смотреть")</f>
        <v>смотреть</v>
      </c>
      <c r="H707">
        <v>54.997426</v>
      </c>
      <c r="I707">
        <v>73.28707</v>
      </c>
    </row>
    <row r="708">
      <c r="A708">
        <v>707</v>
      </c>
      <c r="B708" t="inlineStr">
        <is>
          <t xml:space="preserve">Степанца, напротив дома 12 (у пересечения с Заречным бульваром, ТЦ «Маяк»)</t>
        </is>
      </c>
      <c r="C708" t="inlineStr">
        <is>
          <t xml:space="preserve">Билборд</t>
        </is>
      </c>
      <c r="D708" t="inlineStr">
        <is>
          <t xml:space="preserve">6×3</t>
        </is>
      </c>
      <c r="E708" t="inlineStr">
        <is>
          <t xml:space="preserve">A</t>
        </is>
      </c>
      <c r="F708" s="2" t="str">
        <f>HYPERLINK("https://yandex.ru/maps/?pt=73.28467190265631,54.998415136451094&amp;z=17","открыть")</f>
        <v>открыть</v>
      </c>
      <c r="G708" s="2" t="str">
        <f>HYPERLINK("https://mediafasadomsk.com/surfaces/bb-stepanca-ul-12-naprotiv-h-s-zarechnym-bulvarom-tc-mayak-a-900.jpg","смотреть")</f>
        <v>смотреть</v>
      </c>
      <c r="H708">
        <v>54.998415136451094</v>
      </c>
      <c r="I708">
        <v>73.28467190265631</v>
      </c>
    </row>
    <row r="709">
      <c r="A709">
        <v>708</v>
      </c>
      <c r="B709" t="inlineStr">
        <is>
          <t xml:space="preserve">Степанца, напротив дома 14/1</t>
        </is>
      </c>
      <c r="C709" t="inlineStr">
        <is>
          <t xml:space="preserve">Билборд</t>
        </is>
      </c>
      <c r="D709" t="inlineStr">
        <is>
          <t xml:space="preserve">6×3</t>
        </is>
      </c>
      <c r="E709" t="inlineStr">
        <is>
          <t xml:space="preserve">A, B</t>
        </is>
      </c>
      <c r="F709" s="2" t="str">
        <f>HYPERLINK("https://yandex.ru/maps/?pt=73.280195,55.000594&amp;z=17","открыть")</f>
        <v>открыть</v>
      </c>
      <c r="G709" s="2" t="str">
        <f>HYPERLINK("https://mediafasadomsk.com/surfaces/bb-stepanca-ul-14-1-naprotiv-a-900.jpg","смотреть")</f>
        <v>смотреть</v>
      </c>
      <c r="H709">
        <v>55.000594</v>
      </c>
      <c r="I709">
        <v>73.280195</v>
      </c>
    </row>
    <row r="710">
      <c r="A710">
        <v>709</v>
      </c>
      <c r="B710" t="inlineStr">
        <is>
          <t xml:space="preserve">Степанца, 14, 100 м до пересечения с улицей Лукашевича (светофор, ТЦ «Маяк»)</t>
        </is>
      </c>
      <c r="C710" t="inlineStr">
        <is>
          <t xml:space="preserve">Билборд</t>
        </is>
      </c>
      <c r="D710" t="inlineStr">
        <is>
          <t xml:space="preserve">6×3</t>
        </is>
      </c>
      <c r="E710" t="inlineStr">
        <is>
          <t xml:space="preserve">A, B</t>
        </is>
      </c>
      <c r="F710" s="2" t="str">
        <f>HYPERLINK("https://yandex.ru/maps/?pt=73.28104195359899,55.0004344519274&amp;z=17","открыть")</f>
        <v>открыть</v>
      </c>
      <c r="G710" s="2" t="str">
        <f>HYPERLINK("https://mediafasadomsk.com/surfaces/bb-stepanca-ul-14-100-m-do-h-s-ul-lukashevicha-svetofor-tc-mayak-a-900.jpg","смотреть")</f>
        <v>смотреть</v>
      </c>
      <c r="H710">
        <v>55.0004344519274</v>
      </c>
      <c r="I710">
        <v>73.28104195359899</v>
      </c>
    </row>
    <row r="711">
      <c r="A711">
        <v>710</v>
      </c>
      <c r="B711" t="inlineStr">
        <is>
          <t xml:space="preserve">Степанца, 14, 170 м до пересечения с улицей Лукашевича (ТЦ «Маяк»)</t>
        </is>
      </c>
      <c r="C711" t="inlineStr">
        <is>
          <t xml:space="preserve">Билборд</t>
        </is>
      </c>
      <c r="D711" t="inlineStr">
        <is>
          <t xml:space="preserve">6×3</t>
        </is>
      </c>
      <c r="E711" t="inlineStr">
        <is>
          <t xml:space="preserve">A, B</t>
        </is>
      </c>
      <c r="F711" s="2" t="str">
        <f>HYPERLINK("https://yandex.ru/maps/?pt=73.28202512626055,54.99992455309961&amp;z=17","открыть")</f>
        <v>открыть</v>
      </c>
      <c r="G711" s="2" t="str">
        <f>HYPERLINK("https://mediafasadomsk.com/surfaces/bb-stepanca-ul-14-170-m-do-h-s-ul-lukashevicha-tc-mayak-a-900.jpg","смотреть")</f>
        <v>смотреть</v>
      </c>
      <c r="H711">
        <v>54.99992455309961</v>
      </c>
      <c r="I711">
        <v>73.28202512626055</v>
      </c>
    </row>
    <row r="712">
      <c r="A712">
        <v>711</v>
      </c>
      <c r="B712" t="inlineStr">
        <is>
          <t xml:space="preserve">Степанца, напротив дома 5 (у пересечения с улицей Перелёта, светофор)</t>
        </is>
      </c>
      <c r="C712" t="inlineStr">
        <is>
          <t xml:space="preserve">Билборд</t>
        </is>
      </c>
      <c r="D712" t="inlineStr">
        <is>
          <t xml:space="preserve">6×3</t>
        </is>
      </c>
      <c r="E712" t="inlineStr">
        <is>
          <t xml:space="preserve">A, B</t>
        </is>
      </c>
      <c r="F712" s="2" t="str">
        <f>HYPERLINK("https://yandex.ru/maps/?pt=73.29051700000018,54.99525499999999&amp;z=17","открыть")</f>
        <v>открыть</v>
      </c>
      <c r="G712" s="2" t="str">
        <f>HYPERLINK("https://mediafasadomsk.com/surfaces/bb-stepanca-ul-5-naprotiv-do-h-s-ul-pereleta-svetofor-a-900.jpg","смотреть")</f>
        <v>смотреть</v>
      </c>
      <c r="H712">
        <v>54.99525499999999</v>
      </c>
      <c r="I712">
        <v>73.29051700000018</v>
      </c>
    </row>
    <row r="713">
      <c r="A713">
        <v>712</v>
      </c>
      <c r="B713" t="inlineStr">
        <is>
          <t xml:space="preserve">Степанца, напротив дома 6</t>
        </is>
      </c>
      <c r="C713" t="inlineStr">
        <is>
          <t xml:space="preserve">Билборд</t>
        </is>
      </c>
      <c r="D713" t="inlineStr">
        <is>
          <t xml:space="preserve">6×3</t>
        </is>
      </c>
      <c r="E713" t="inlineStr">
        <is>
          <t xml:space="preserve">A, B</t>
        </is>
      </c>
      <c r="F713" s="2" t="str">
        <f>HYPERLINK("https://yandex.ru/maps/?pt=73.29562780622015,54.99209499893498&amp;z=17","открыть")</f>
        <v>открыть</v>
      </c>
      <c r="G713" s="2" t="str">
        <f>HYPERLINK("https://mediafasadomsk.com/surfaces/bb-stepanca-ul-6-naprotiv-a-900.jpg","смотреть")</f>
        <v>смотреть</v>
      </c>
      <c r="H713">
        <v>54.99209499893498</v>
      </c>
      <c r="I713">
        <v>73.29562780622015</v>
      </c>
    </row>
    <row r="714">
      <c r="A714">
        <v>713</v>
      </c>
      <c r="B714" t="inlineStr">
        <is>
          <t xml:space="preserve">Степанца, 9/8 (светофор, ТЦ «Маяк»)</t>
        </is>
      </c>
      <c r="C714" t="inlineStr">
        <is>
          <t xml:space="preserve">Билборд</t>
        </is>
      </c>
      <c r="D714" t="inlineStr">
        <is>
          <t xml:space="preserve">6×3</t>
        </is>
      </c>
      <c r="E714" t="inlineStr">
        <is>
          <t xml:space="preserve">A, B</t>
        </is>
      </c>
      <c r="F714" s="2" t="str">
        <f>HYPERLINK("https://yandex.ru/maps/?pt=73.28686383132228,54.99734596060071&amp;z=17","открыть")</f>
        <v>открыть</v>
      </c>
      <c r="G714" s="2" t="str">
        <f>HYPERLINK("https://mediafasadomsk.com/surfaces/bb-stepanca-ul-9-8-svetofor-tc-mayak-a-900.jpg","смотреть")</f>
        <v>смотреть</v>
      </c>
      <c r="H714">
        <v>54.99734596060071</v>
      </c>
      <c r="I714">
        <v>73.28686383132228</v>
      </c>
    </row>
    <row r="715">
      <c r="A715">
        <v>714</v>
      </c>
      <c r="B715" t="inlineStr">
        <is>
          <t xml:space="preserve">Степанца, 9 (светофор, ТЦ «Маяк»)</t>
        </is>
      </c>
      <c r="C715" t="inlineStr">
        <is>
          <t xml:space="preserve">Билборд</t>
        </is>
      </c>
      <c r="D715" t="inlineStr">
        <is>
          <t xml:space="preserve">6×3</t>
        </is>
      </c>
      <c r="E715" t="inlineStr">
        <is>
          <t xml:space="preserve">A, B</t>
        </is>
      </c>
      <c r="F715" s="2" t="str">
        <f>HYPERLINK("https://yandex.ru/maps/?pt=73.28789916400231,54.99680130807036&amp;z=17","открыть")</f>
        <v>открыть</v>
      </c>
      <c r="G715" s="2" t="str">
        <f>HYPERLINK("https://mediafasadomsk.com/surfaces/bb-stepanca-ul-9-svetofor-tc-mayak-a-900.jpg","смотреть")</f>
        <v>смотреть</v>
      </c>
      <c r="H715">
        <v>54.99680130807036</v>
      </c>
      <c r="I715">
        <v>73.28789916400231</v>
      </c>
    </row>
    <row r="716">
      <c r="A716">
        <v>715</v>
      </c>
      <c r="B716" t="inlineStr">
        <is>
          <t xml:space="preserve">Степанца, чётная сторона, после пересечения с улицей Перелета (светофор, ТЦ «Маяк»)</t>
        </is>
      </c>
      <c r="C716" t="inlineStr">
        <is>
          <t xml:space="preserve">Цифровой билборд</t>
        </is>
      </c>
      <c r="D716" t="inlineStr">
        <is>
          <t xml:space="preserve">6×3</t>
        </is>
      </c>
      <c r="E716" t="inlineStr">
        <is>
          <t xml:space="preserve">A1, B1</t>
        </is>
      </c>
      <c r="F716" s="2" t="str">
        <f>HYPERLINK("https://yandex.ru/maps/?pt=73.28960504893583,54.995635019558215&amp;z=17","открыть")</f>
        <v>открыть</v>
      </c>
      <c r="G716" s="2" t="str">
        <f>HYPERLINK("https://mediafasadomsk.com/surfaces/bb-stepanca-ul-chetnaya-storona-posle-h-s-ul-pereleta-svetofor-tc-mayak-a-900.jpg","смотреть")</f>
        <v>смотреть</v>
      </c>
      <c r="H716">
        <v>54.995635019558215</v>
      </c>
      <c r="I716">
        <v>73.28960504893583</v>
      </c>
    </row>
    <row r="717">
      <c r="A717">
        <v>716</v>
      </c>
      <c r="B717" t="inlineStr">
        <is>
          <t xml:space="preserve">Суворова, 107 (напротив), №1</t>
        </is>
      </c>
      <c r="C717" t="inlineStr">
        <is>
          <t xml:space="preserve">Билборд</t>
        </is>
      </c>
      <c r="D717" t="inlineStr">
        <is>
          <t xml:space="preserve">6×3</t>
        </is>
      </c>
      <c r="E717" t="inlineStr">
        <is>
          <t xml:space="preserve">A1, A2</t>
        </is>
      </c>
      <c r="F717" s="2" t="str">
        <f>HYPERLINK("https://yandex.ru/maps/?pt=73.349422,54.961841&amp;z=17","открыть")</f>
        <v>открыть</v>
      </c>
      <c r="G717" s="2" t="str">
        <f>HYPERLINK("https://mediafasadomsk.com/surfaces/bb-suvorova-ul-107-naprotiv-1-a-900.jpg","смотреть")</f>
        <v>смотреть</v>
      </c>
      <c r="H717">
        <v>54.961841</v>
      </c>
      <c r="I717">
        <v>73.349422</v>
      </c>
    </row>
    <row r="718">
      <c r="A718">
        <v>717</v>
      </c>
      <c r="B718" t="inlineStr">
        <is>
          <t xml:space="preserve">Суворова, напротив дома 107 (въезд на Тюкалинскую развязку)</t>
        </is>
      </c>
      <c r="C718" t="inlineStr">
        <is>
          <t xml:space="preserve">Билборд</t>
        </is>
      </c>
      <c r="D718" t="inlineStr">
        <is>
          <t xml:space="preserve">6×3</t>
        </is>
      </c>
      <c r="E718" t="inlineStr">
        <is>
          <t xml:space="preserve">A</t>
        </is>
      </c>
      <c r="F718" s="2" t="str">
        <f>HYPERLINK("https://yandex.ru/maps/?pt=73.34966396560682,54.96222760181989&amp;z=17","открыть")</f>
        <v>открыть</v>
      </c>
      <c r="G718" s="2" t="str">
        <f>HYPERLINK("https://mediafasadomsk.com/surfaces/bb-suvorova-ul-107-naprotiv-vezd-na-tyukalinskuyu-razvyazku-a-900.jpg","смотреть")</f>
        <v>смотреть</v>
      </c>
      <c r="H718">
        <v>54.96222760181989</v>
      </c>
      <c r="I718">
        <v>73.34966396560682</v>
      </c>
    </row>
    <row r="719">
      <c r="A719">
        <v>718</v>
      </c>
      <c r="B719" t="inlineStr">
        <is>
          <t xml:space="preserve">Суворова, 6</t>
        </is>
      </c>
      <c r="C719" t="inlineStr">
        <is>
          <t xml:space="preserve">Билборд</t>
        </is>
      </c>
      <c r="D719" t="inlineStr">
        <is>
          <t xml:space="preserve">6×3</t>
        </is>
      </c>
      <c r="E719" t="inlineStr">
        <is>
          <t xml:space="preserve">B</t>
        </is>
      </c>
      <c r="F719" s="2" t="str">
        <f>HYPERLINK("https://yandex.ru/maps/?pt=73.33733638525062,54.939475025893984&amp;z=17","открыть")</f>
        <v>открыть</v>
      </c>
      <c r="G719" s="2" t="str">
        <f>HYPERLINK("https://mediafasadomsk.com/surfaces/bb-suvorova-ul-6-a-900.jpg","смотреть")</f>
        <v>смотреть</v>
      </c>
      <c r="H719">
        <v>54.939475025893984</v>
      </c>
      <c r="I719">
        <v>73.33733638525062</v>
      </c>
    </row>
    <row r="720">
      <c r="A720">
        <v>719</v>
      </c>
      <c r="B720" t="inlineStr">
        <is>
          <t xml:space="preserve">Суворова, 89 (у пересечения с улицей Димитрова, светофор)</t>
        </is>
      </c>
      <c r="C720" t="inlineStr">
        <is>
          <t xml:space="preserve">Цифровой билборд</t>
        </is>
      </c>
      <c r="D720" t="inlineStr">
        <is>
          <t xml:space="preserve">6×3</t>
        </is>
      </c>
      <c r="E720" t="inlineStr">
        <is>
          <t xml:space="preserve">A1, B1</t>
        </is>
      </c>
      <c r="F720" s="2" t="str">
        <f>HYPERLINK("https://yandex.ru/maps/?pt=73.35018393564742,54.94748090771326&amp;z=17","открыть")</f>
        <v>открыть</v>
      </c>
      <c r="G720" s="2" t="str">
        <f>HYPERLINK("https://mediafasadomsk.com/surfaces/bb-suvorova-ul-89-h-s-ul-dimitrova-svetofor-a-900.jpg","смотреть")</f>
        <v>смотреть</v>
      </c>
      <c r="H720">
        <v>54.94748090771326</v>
      </c>
      <c r="I720">
        <v>73.35018393564742</v>
      </c>
    </row>
    <row r="721">
      <c r="A721">
        <v>720</v>
      </c>
      <c r="B721" t="inlineStr">
        <is>
          <t xml:space="preserve">Суворова (перед остановкой «По требованию»)</t>
        </is>
      </c>
      <c r="C721" t="inlineStr">
        <is>
          <t xml:space="preserve">Билборд</t>
        </is>
      </c>
      <c r="D721" t="inlineStr">
        <is>
          <t xml:space="preserve">6×3</t>
        </is>
      </c>
      <c r="E721" t="inlineStr">
        <is>
          <t xml:space="preserve">A, B</t>
        </is>
      </c>
      <c r="F721" s="2" t="str">
        <f>HYPERLINK("https://yandex.ru/maps/?pt=73.349866,54.959342&amp;z=17","открыть")</f>
        <v>открыть</v>
      </c>
      <c r="G721" s="2" t="str">
        <f>HYPERLINK("https://mediafasadomsk.com/surfaces/bb-suvorova-ul-pered-oot-po-trebovaniyu-a-900.jpg","смотреть")</f>
        <v>смотреть</v>
      </c>
      <c r="H721">
        <v>54.959342</v>
      </c>
      <c r="I721">
        <v>73.349866</v>
      </c>
    </row>
    <row r="722">
      <c r="A722">
        <v>721</v>
      </c>
      <c r="B722" t="inlineStr">
        <is>
          <t xml:space="preserve">Транссибирская, 1 (аэропорт «Омск»)</t>
        </is>
      </c>
      <c r="C722" t="inlineStr">
        <is>
          <t xml:space="preserve">Билборд</t>
        </is>
      </c>
      <c r="D722" t="inlineStr">
        <is>
          <t xml:space="preserve">6×3</t>
        </is>
      </c>
      <c r="E722" t="inlineStr">
        <is>
          <t xml:space="preserve">A, B</t>
        </is>
      </c>
      <c r="F722" s="2" t="str">
        <f>HYPERLINK("https://yandex.ru/maps/?pt=73.33602134456568,54.95216885134416&amp;z=17","открыть")</f>
        <v>открыть</v>
      </c>
      <c r="G722" s="2" t="str">
        <f>HYPERLINK("https://mediafasadomsk.com/surfaces/bb-transsibirskaya-ul-1-aeroport-omsk-a-900.jpg","смотреть")</f>
        <v>смотреть</v>
      </c>
      <c r="H722">
        <v>54.95216885134416</v>
      </c>
      <c r="I722">
        <v>73.33602134456568</v>
      </c>
    </row>
    <row r="723">
      <c r="A723">
        <v>722</v>
      </c>
      <c r="B723" t="inlineStr">
        <is>
          <t xml:space="preserve">Транссибирская, 9 (аэропорт «Омск»)</t>
        </is>
      </c>
      <c r="C723" t="inlineStr">
        <is>
          <t xml:space="preserve">Билборд</t>
        </is>
      </c>
      <c r="D723" t="inlineStr">
        <is>
          <t xml:space="preserve">6×3</t>
        </is>
      </c>
      <c r="E723" t="inlineStr">
        <is>
          <t xml:space="preserve">A, B</t>
        </is>
      </c>
      <c r="F723" s="2" t="str">
        <f>HYPERLINK("https://yandex.ru/maps/?pt=73.33101720237703,54.957315914158265&amp;z=17","открыть")</f>
        <v>открыть</v>
      </c>
      <c r="G723" s="2" t="str">
        <f>HYPERLINK("https://mediafasadomsk.com/surfaces/bb-transsibirskaya-ul-9-aeroport-omsk-a-900.jpg","смотреть")</f>
        <v>смотреть</v>
      </c>
      <c r="H723">
        <v>54.957315914158265</v>
      </c>
      <c r="I723">
        <v>73.33101720237703</v>
      </c>
    </row>
    <row r="724">
      <c r="A724">
        <v>723</v>
      </c>
      <c r="B724" t="inlineStr">
        <is>
          <t xml:space="preserve">Транссибирская, 18/1</t>
        </is>
      </c>
      <c r="C724" t="inlineStr">
        <is>
          <t xml:space="preserve">Билборд</t>
        </is>
      </c>
      <c r="D724" t="inlineStr">
        <is>
          <t xml:space="preserve">6×3</t>
        </is>
      </c>
      <c r="E724" t="inlineStr">
        <is>
          <t xml:space="preserve">A, B</t>
        </is>
      </c>
      <c r="F724" s="2" t="str">
        <f>HYPERLINK("https://yandex.ru/maps/?pt=73.326457,54.958671&amp;z=17","открыть")</f>
        <v>открыть</v>
      </c>
      <c r="G724" s="2" t="str">
        <f>HYPERLINK("https://mediafasadomsk.com/surfaces/bb-transsibirskaya-ul-d-18-1-a-900.jpg","смотреть")</f>
        <v>смотреть</v>
      </c>
      <c r="H724">
        <v>54.958671</v>
      </c>
      <c r="I724">
        <v>73.326457</v>
      </c>
    </row>
    <row r="725">
      <c r="A725">
        <v>724</v>
      </c>
      <c r="B725" t="inlineStr">
        <is>
          <t xml:space="preserve">Транссибирская (вблизи здания №27, корпус 1 на улице Авиагородок)</t>
        </is>
      </c>
      <c r="C725" t="inlineStr">
        <is>
          <t xml:space="preserve">Билборд</t>
        </is>
      </c>
      <c r="D725" t="inlineStr">
        <is>
          <t xml:space="preserve">6×3</t>
        </is>
      </c>
      <c r="E725" t="inlineStr">
        <is>
          <t xml:space="preserve">A, B</t>
        </is>
      </c>
      <c r="F725" s="2" t="str">
        <f>HYPERLINK("https://yandex.ru/maps/?pt=73.319261,54.958259&amp;z=17","открыть")</f>
        <v>открыть</v>
      </c>
      <c r="G725" s="2" t="str">
        <f>HYPERLINK("https://mediafasadomsk.com/surfaces/bb-transsibirskaya-ul-vblizi-zdaniya-27-k-1-na-ul-aviagorodok-a-900.jpg","смотреть")</f>
        <v>смотреть</v>
      </c>
      <c r="H725">
        <v>54.958259</v>
      </c>
      <c r="I725">
        <v>73.319261</v>
      </c>
    </row>
    <row r="726">
      <c r="A726">
        <v>725</v>
      </c>
      <c r="B726" t="inlineStr">
        <is>
          <t xml:space="preserve">Улица Труда, напротив дома 10А</t>
        </is>
      </c>
      <c r="C726" t="inlineStr">
        <is>
          <t xml:space="preserve">Билборд</t>
        </is>
      </c>
      <c r="D726" t="inlineStr">
        <is>
          <t xml:space="preserve">6×3</t>
        </is>
      </c>
      <c r="E726" t="inlineStr">
        <is>
          <t xml:space="preserve">A, B</t>
        </is>
      </c>
      <c r="F726" s="2" t="str">
        <f>HYPERLINK("https://yandex.ru/maps/?pt=73.376931,54.933945&amp;z=17","открыть")</f>
        <v>открыть</v>
      </c>
      <c r="G726" s="2" t="str">
        <f>HYPERLINK("https://mediafasadomsk.com/surfaces/bb-truda-ul-10a-naprotiv-a-900.jpg","смотреть")</f>
        <v>смотреть</v>
      </c>
      <c r="H726">
        <v>54.933945</v>
      </c>
      <c r="I726">
        <v>73.376931</v>
      </c>
    </row>
    <row r="727">
      <c r="A727">
        <v>726</v>
      </c>
      <c r="B727" t="inlineStr">
        <is>
          <t xml:space="preserve">Улица Труда, 11</t>
        </is>
      </c>
      <c r="C727" t="inlineStr">
        <is>
          <t xml:space="preserve">Билборд</t>
        </is>
      </c>
      <c r="D727" t="inlineStr">
        <is>
          <t xml:space="preserve">6×3</t>
        </is>
      </c>
      <c r="E727" t="inlineStr">
        <is>
          <t xml:space="preserve">A, B</t>
        </is>
      </c>
      <c r="F727" s="2" t="str">
        <f>HYPERLINK("https://yandex.ru/maps/?pt=73.376006,54.933764&amp;z=17","открыть")</f>
        <v>открыть</v>
      </c>
      <c r="G727" s="2" t="str">
        <f>HYPERLINK("https://mediafasadomsk.com/surfaces/bb-truda-ul-11-a-900.jpg","смотреть")</f>
        <v>смотреть</v>
      </c>
      <c r="H727">
        <v>54.933764</v>
      </c>
      <c r="I727">
        <v>73.376006</v>
      </c>
    </row>
    <row r="728">
      <c r="A728">
        <v>727</v>
      </c>
      <c r="B728" t="inlineStr">
        <is>
          <t xml:space="preserve">Улица Труда, напротив дома 11</t>
        </is>
      </c>
      <c r="C728" t="inlineStr">
        <is>
          <t xml:space="preserve">Билборд</t>
        </is>
      </c>
      <c r="D728" t="inlineStr">
        <is>
          <t xml:space="preserve">6×3</t>
        </is>
      </c>
      <c r="E728" t="inlineStr">
        <is>
          <t xml:space="preserve">A, B</t>
        </is>
      </c>
      <c r="F728" s="2" t="str">
        <f>HYPERLINK("https://yandex.ru/maps/?pt=73.37795913253913,54.934295719422806&amp;z=17","открыть")</f>
        <v>открыть</v>
      </c>
      <c r="G728" s="2" t="str">
        <f>HYPERLINK("https://mediafasadomsk.com/surfaces/bb-truda-ul-11-naprotiv-a-900.jpg","смотреть")</f>
        <v>смотреть</v>
      </c>
      <c r="H728">
        <v>54.934295719422806</v>
      </c>
      <c r="I728">
        <v>73.37795913253913</v>
      </c>
    </row>
    <row r="729">
      <c r="A729">
        <v>728</v>
      </c>
      <c r="B729" t="inlineStr">
        <is>
          <t xml:space="preserve">Тюкалинская развязка, 150 м после съезда с Енисейская</t>
        </is>
      </c>
      <c r="C729" t="inlineStr">
        <is>
          <t xml:space="preserve">Билборд</t>
        </is>
      </c>
      <c r="D729" t="inlineStr">
        <is>
          <t xml:space="preserve">6×3</t>
        </is>
      </c>
      <c r="E729" t="inlineStr">
        <is>
          <t xml:space="preserve">A</t>
        </is>
      </c>
      <c r="F729" s="2" t="str">
        <f>HYPERLINK("https://yandex.ru/maps/?pt=73.34434180622208,54.96657631841307&amp;z=17","открыть")</f>
        <v>открыть</v>
      </c>
      <c r="G729" s="2" t="str">
        <f>HYPERLINK("https://mediafasadomsk.com/surfaces/bb-tyukalinskaya-razvyazka-150-m-posle-sezda-s-ul-enisejskaya-a-900.jpg","смотреть")</f>
        <v>смотреть</v>
      </c>
      <c r="H729">
        <v>54.96657631841307</v>
      </c>
      <c r="I729">
        <v>73.34434180622208</v>
      </c>
    </row>
    <row r="730">
      <c r="A730">
        <v>729</v>
      </c>
      <c r="B730" t="inlineStr">
        <is>
          <t xml:space="preserve">Тюкалинская развязка, 250 м после съезда с Енисейская</t>
        </is>
      </c>
      <c r="C730" t="inlineStr">
        <is>
          <t xml:space="preserve">Билборд</t>
        </is>
      </c>
      <c r="D730" t="inlineStr">
        <is>
          <t xml:space="preserve">6×3</t>
        </is>
      </c>
      <c r="E730" t="inlineStr">
        <is>
          <t xml:space="preserve">A</t>
        </is>
      </c>
      <c r="F730" s="2" t="str">
        <f>HYPERLINK("https://yandex.ru/maps/?pt=73.34488897686103,54.96584956299975&amp;z=17","открыть")</f>
        <v>открыть</v>
      </c>
      <c r="G730" s="2" t="str">
        <f>HYPERLINK("https://mediafasadomsk.com/surfaces/bb-tyukalinskaya-razvyazka-250-m-posle-sezda-s-ul-enisejskaya-a-900.jpg","смотреть")</f>
        <v>смотреть</v>
      </c>
      <c r="H730">
        <v>54.96584956299975</v>
      </c>
      <c r="I730">
        <v>73.34488897686103</v>
      </c>
    </row>
    <row r="731">
      <c r="A731">
        <v>730</v>
      </c>
      <c r="B731" t="inlineStr">
        <is>
          <t xml:space="preserve">Ватутина, 1 (у пересечения с улицей Лукашевича, светофор)</t>
        </is>
      </c>
      <c r="C731" t="inlineStr">
        <is>
          <t xml:space="preserve">Билборд</t>
        </is>
      </c>
      <c r="D731" t="inlineStr">
        <is>
          <t xml:space="preserve">6×3</t>
        </is>
      </c>
      <c r="E731" t="inlineStr">
        <is>
          <t xml:space="preserve">A</t>
        </is>
      </c>
      <c r="F731" s="2" t="str">
        <f>HYPERLINK("https://yandex.ru/maps/?pt=73.26950134063901,54.99153293508796&amp;z=17","открыть")</f>
        <v>открыть</v>
      </c>
      <c r="G731" s="2" t="str">
        <f>HYPERLINK("https://mediafasadomsk.com/surfaces/bb-vatutina-ul-1-h-s-ul-lukashevicha-svetofor-a-900.jpg","смотреть")</f>
        <v>смотреть</v>
      </c>
      <c r="H731">
        <v>54.99153293508796</v>
      </c>
      <c r="I731">
        <v>73.26950134063901</v>
      </c>
    </row>
    <row r="732">
      <c r="A732">
        <v>731</v>
      </c>
      <c r="B732" t="inlineStr">
        <is>
          <t xml:space="preserve">Ватутина, 13</t>
        </is>
      </c>
      <c r="C732" t="inlineStr">
        <is>
          <t xml:space="preserve">Билборд</t>
        </is>
      </c>
      <c r="D732" t="inlineStr">
        <is>
          <t xml:space="preserve">6×3</t>
        </is>
      </c>
      <c r="E732" t="inlineStr">
        <is>
          <t xml:space="preserve">A, B</t>
        </is>
      </c>
      <c r="F732" s="2" t="str">
        <f>HYPERLINK("https://yandex.ru/maps/?pt=73.28084707260125,54.98588814973193&amp;z=17","открыть")</f>
        <v>открыть</v>
      </c>
      <c r="G732" s="2" t="str">
        <f>HYPERLINK("https://mediafasadomsk.com/surfaces/bb-vatutina-ul-13-a-900.jpg","смотреть")</f>
        <v>смотреть</v>
      </c>
      <c r="H732">
        <v>54.98588814973193</v>
      </c>
      <c r="I732">
        <v>73.28084707260125</v>
      </c>
    </row>
    <row r="733">
      <c r="A733">
        <v>732</v>
      </c>
      <c r="B733" t="inlineStr">
        <is>
          <t xml:space="preserve">Ватутина, 25 (у пересечения с бульваром Архитекторов, светофор)</t>
        </is>
      </c>
      <c r="C733" t="inlineStr">
        <is>
          <t xml:space="preserve">Призматрон</t>
        </is>
      </c>
      <c r="D733" t="inlineStr">
        <is>
          <t xml:space="preserve">6×3</t>
        </is>
      </c>
      <c r="E733" t="inlineStr">
        <is>
          <t xml:space="preserve">A1</t>
        </is>
      </c>
      <c r="F733" s="2" t="str">
        <f>HYPERLINK("https://yandex.ru/maps/?pt=73.29307258167675,54.98009955803764&amp;z=17","открыть")</f>
        <v>открыть</v>
      </c>
      <c r="G733" s="2" t="str">
        <f>HYPERLINK("https://mediafasadomsk.com/surfaces/bb-vatutina-ul-25-h-s-bulvarom-arhitektorov-svetofor-a-900.jpg","смотреть")</f>
        <v>смотреть</v>
      </c>
      <c r="H733">
        <v>54.98009955803764</v>
      </c>
      <c r="I733">
        <v>73.29307258167675</v>
      </c>
    </row>
    <row r="734">
      <c r="A734">
        <v>733</v>
      </c>
      <c r="B734" t="inlineStr">
        <is>
          <t xml:space="preserve">Ватутина, 25 (у пересечения с бульваром Архитекторов, светофор)</t>
        </is>
      </c>
      <c r="C734" t="inlineStr">
        <is>
          <t xml:space="preserve">Билборд</t>
        </is>
      </c>
      <c r="D734" t="inlineStr">
        <is>
          <t xml:space="preserve">6×3</t>
        </is>
      </c>
      <c r="E734" t="inlineStr">
        <is>
          <t xml:space="preserve">B</t>
        </is>
      </c>
      <c r="F734" s="2" t="str">
        <f>HYPERLINK("https://yandex.ru/maps/?pt=73.29307258167675,54.98009955803764&amp;z=17","открыть")</f>
        <v>открыть</v>
      </c>
      <c r="G734" s="2" t="str">
        <f>HYPERLINK("https://mediafasadomsk.com/surfaces/bb-vatutina-ul-25-h-s-bulvarom-arhitektorov-svetofor-b-a-900.jpg","смотреть")</f>
        <v>смотреть</v>
      </c>
      <c r="H734">
        <v>54.98009955803764</v>
      </c>
      <c r="I734">
        <v>73.29307258167675</v>
      </c>
    </row>
    <row r="735">
      <c r="A735">
        <v>734</v>
      </c>
      <c r="B735" t="inlineStr">
        <is>
          <t xml:space="preserve">Ватутина, напротив дома 25 (у пересечения с бульваром Архитекторов, светофор)</t>
        </is>
      </c>
      <c r="C735" t="inlineStr">
        <is>
          <t xml:space="preserve">Билборд</t>
        </is>
      </c>
      <c r="D735" t="inlineStr">
        <is>
          <t xml:space="preserve">6×3</t>
        </is>
      </c>
      <c r="E735" t="inlineStr">
        <is>
          <t xml:space="preserve">A, B</t>
        </is>
      </c>
      <c r="F735" s="2" t="str">
        <f>HYPERLINK("https://yandex.ru/maps/?pt=73.29287141561505,54.979964128611165&amp;z=17","открыть")</f>
        <v>открыть</v>
      </c>
      <c r="G735" s="2" t="str">
        <f>HYPERLINK("https://mediafasadomsk.com/surfaces/bb-vatutina-ul-25-naprotiv-h-s-bulvarom-arhitektorov-svetofor-a-900.jpg","смотреть")</f>
        <v>смотреть</v>
      </c>
      <c r="H735">
        <v>54.979964128611165</v>
      </c>
      <c r="I735">
        <v>73.29287141561505</v>
      </c>
    </row>
    <row r="736">
      <c r="A736">
        <v>735</v>
      </c>
      <c r="B736" t="inlineStr">
        <is>
          <t xml:space="preserve">Ватутина, 28</t>
        </is>
      </c>
      <c r="C736" t="inlineStr">
        <is>
          <t xml:space="preserve">Билборд</t>
        </is>
      </c>
      <c r="D736" t="inlineStr">
        <is>
          <t xml:space="preserve">6×3</t>
        </is>
      </c>
      <c r="E736" t="inlineStr">
        <is>
          <t xml:space="preserve">A, B</t>
        </is>
      </c>
      <c r="F736" s="2" t="str">
        <f>HYPERLINK("https://yandex.ru/maps/?pt=73.30247999999983,54.97535200000002&amp;z=17","открыть")</f>
        <v>открыть</v>
      </c>
      <c r="G736" s="2" t="str">
        <f>HYPERLINK("https://mediafasadomsk.com/surfaces/bb-vatutina-ul-28-a-900.jpg","смотреть")</f>
        <v>смотреть</v>
      </c>
      <c r="H736">
        <v>54.97535200000002</v>
      </c>
      <c r="I736">
        <v>73.30247999999983</v>
      </c>
    </row>
    <row r="737">
      <c r="A737">
        <v>736</v>
      </c>
      <c r="B737" t="inlineStr">
        <is>
          <t xml:space="preserve">Ватутина, 17</t>
        </is>
      </c>
      <c r="C737" t="inlineStr">
        <is>
          <t xml:space="preserve">Билборд</t>
        </is>
      </c>
      <c r="D737" t="inlineStr">
        <is>
          <t xml:space="preserve">6×3</t>
        </is>
      </c>
      <c r="E737" t="inlineStr">
        <is>
          <t xml:space="preserve">A, B</t>
        </is>
      </c>
      <c r="F737" s="2" t="str">
        <f>HYPERLINK("https://yandex.ru/maps/?pt=73.28533,54.983585&amp;z=17","открыть")</f>
        <v>открыть</v>
      </c>
      <c r="G737" s="2" t="str">
        <f>HYPERLINK("https://mediafasadomsk.com/surfaces/bb-vatutina-ul-d-17-a-900.jpg","смотреть")</f>
        <v>смотреть</v>
      </c>
      <c r="H737">
        <v>54.983585</v>
      </c>
      <c r="I737">
        <v>73.28533</v>
      </c>
    </row>
    <row r="738">
      <c r="A738">
        <v>737</v>
      </c>
      <c r="B738" t="inlineStr">
        <is>
          <t xml:space="preserve">Ватутина, 6</t>
        </is>
      </c>
      <c r="C738" t="inlineStr">
        <is>
          <t xml:space="preserve">Цифровой билборд</t>
        </is>
      </c>
      <c r="D738" t="inlineStr">
        <is>
          <t xml:space="preserve">6×3</t>
        </is>
      </c>
      <c r="E738" t="inlineStr">
        <is>
          <t xml:space="preserve">A</t>
        </is>
      </c>
      <c r="F738" s="2" t="str">
        <f>HYPERLINK("https://yandex.ru/maps/?pt=73.276601,54.98901&amp;z=17","открыть")</f>
        <v>открыть</v>
      </c>
      <c r="G738" s="2" t="str">
        <f>HYPERLINK("https://mediafasadomsk.com/surfaces/bb-vatutina-ul-d-6-a-900.jpg","смотреть")</f>
        <v>смотреть</v>
      </c>
      <c r="H738">
        <v>54.98901</v>
      </c>
      <c r="I738">
        <v>73.276601</v>
      </c>
    </row>
    <row r="739">
      <c r="A739">
        <v>738</v>
      </c>
      <c r="B739" t="inlineStr">
        <is>
          <t xml:space="preserve">Пересечение Волгоградской и Новороссийской (автосалон Лада, дом 2)</t>
        </is>
      </c>
      <c r="C739" t="inlineStr">
        <is>
          <t xml:space="preserve">Билборд</t>
        </is>
      </c>
      <c r="D739" t="inlineStr">
        <is>
          <t xml:space="preserve">6×3</t>
        </is>
      </c>
      <c r="E739" t="inlineStr">
        <is>
          <t xml:space="preserve">A, B</t>
        </is>
      </c>
      <c r="F739" s="2" t="str">
        <f>HYPERLINK("https://yandex.ru/maps/?pt=73.277851,54.980818&amp;z=17","открыть")</f>
        <v>открыть</v>
      </c>
      <c r="G739" s="2" t="str">
        <f>HYPERLINK("https://mediafasadomsk.com/surfaces/bb-volgogradskaya-novorossijskaya-d-2-avtosalon-lada-a-900.jpg","смотреть")</f>
        <v>смотреть</v>
      </c>
      <c r="H739">
        <v>54.980818</v>
      </c>
      <c r="I739">
        <v>73.277851</v>
      </c>
    </row>
    <row r="740">
      <c r="A740">
        <v>739</v>
      </c>
      <c r="B740" t="inlineStr">
        <is>
          <t xml:space="preserve">Волгоградская, 1 (светофор, ТЦ «Мега», а/с «Барс», съезд с бульвара Архитекторов)</t>
        </is>
      </c>
      <c r="C740" t="inlineStr">
        <is>
          <t xml:space="preserve">Билборд</t>
        </is>
      </c>
      <c r="D740" t="inlineStr">
        <is>
          <t xml:space="preserve">6×3</t>
        </is>
      </c>
      <c r="E740" t="inlineStr">
        <is>
          <t xml:space="preserve">A, B</t>
        </is>
      </c>
      <c r="F740" s="2" t="str">
        <f>HYPERLINK("https://yandex.ru/maps/?pt=73.28521127014066,54.97693987371498&amp;z=17","открыть")</f>
        <v>открыть</v>
      </c>
      <c r="G740" s="2" t="str">
        <f>HYPERLINK("https://mediafasadomsk.com/surfaces/bb-volgogradskaya-ul-1-sezd-s-bulvara-arhitektorov-svetofor-tc-mega-a-s-bars-a-900.jpg","смотреть")</f>
        <v>смотреть</v>
      </c>
      <c r="H740">
        <v>54.97693987371498</v>
      </c>
      <c r="I740">
        <v>73.28521127014066</v>
      </c>
    </row>
    <row r="741">
      <c r="A741">
        <v>740</v>
      </c>
      <c r="B741" t="inlineStr">
        <is>
          <t xml:space="preserve">Волгоградская, 10 (ТЦ «Бауцентр»)</t>
        </is>
      </c>
      <c r="C741" t="inlineStr">
        <is>
          <t xml:space="preserve">Билборд</t>
        </is>
      </c>
      <c r="D741" t="inlineStr">
        <is>
          <t xml:space="preserve">6×3</t>
        </is>
      </c>
      <c r="E741" t="inlineStr">
        <is>
          <t xml:space="preserve">A, B</t>
        </is>
      </c>
      <c r="F741" s="2" t="str">
        <f>HYPERLINK("https://yandex.ru/maps/?pt=73.27133595943448,54.98406286254354&amp;z=17","открыть")</f>
        <v>открыть</v>
      </c>
      <c r="G741" s="2" t="str">
        <f>HYPERLINK("https://mediafasadomsk.com/surfaces/bb-volgogradskaya-ul-10-tc-baucentr-a-900.jpg","смотреть")</f>
        <v>смотреть</v>
      </c>
      <c r="H741">
        <v>54.98406286254354</v>
      </c>
      <c r="I741">
        <v>73.27133595943448</v>
      </c>
    </row>
    <row r="742">
      <c r="A742">
        <v>741</v>
      </c>
      <c r="B742" t="inlineStr">
        <is>
          <t xml:space="preserve">Волгоградская, 1/1 (светофор, ТЦ «Мега»)</t>
        </is>
      </c>
      <c r="C742" t="inlineStr">
        <is>
          <t xml:space="preserve">Цифровой билборд</t>
        </is>
      </c>
      <c r="D742" t="inlineStr">
        <is>
          <t xml:space="preserve">6×3</t>
        </is>
      </c>
      <c r="E742" t="inlineStr">
        <is>
          <t xml:space="preserve">A1, B1</t>
        </is>
      </c>
      <c r="F742" s="2" t="str">
        <f>HYPERLINK("https://yandex.ru/maps/?pt=73.29159492775155,54.97276650971946&amp;z=17","открыть")</f>
        <v>открыть</v>
      </c>
      <c r="G742" s="2" t="str">
        <f>HYPERLINK("https://mediafasadomsk.com/surfaces/bb-volgogradskaya-ul-1k1-svetofor-tc-mega-a-900.jpg","смотреть")</f>
        <v>смотреть</v>
      </c>
      <c r="H742">
        <v>54.97276650971946</v>
      </c>
      <c r="I742">
        <v>73.29159492775155</v>
      </c>
    </row>
    <row r="743">
      <c r="A743">
        <v>742</v>
      </c>
      <c r="B743" t="inlineStr">
        <is>
          <t xml:space="preserve">Волгоградская, 2/2</t>
        </is>
      </c>
      <c r="C743" t="inlineStr">
        <is>
          <t xml:space="preserve">Билборд</t>
        </is>
      </c>
      <c r="D743" t="inlineStr">
        <is>
          <t xml:space="preserve">6×3</t>
        </is>
      </c>
      <c r="E743" t="inlineStr">
        <is>
          <t xml:space="preserve">A, B</t>
        </is>
      </c>
      <c r="F743" s="2" t="str">
        <f>HYPERLINK("https://yandex.ru/maps/?pt=73.282861,54.978325&amp;z=17","открыть")</f>
        <v>открыть</v>
      </c>
      <c r="G743" s="2" t="str">
        <f>HYPERLINK("https://mediafasadomsk.com/surfaces/bb-volgogradskaya-ul-2-2-a-900.jpg","смотреть")</f>
        <v>смотреть</v>
      </c>
      <c r="H743">
        <v>54.978325</v>
      </c>
      <c r="I743">
        <v>73.282861</v>
      </c>
    </row>
    <row r="744">
      <c r="A744">
        <v>743</v>
      </c>
      <c r="B744" t="inlineStr">
        <is>
          <t xml:space="preserve">Волгоградская, 24/2 (улица Лукашевича)</t>
        </is>
      </c>
      <c r="C744" t="inlineStr">
        <is>
          <t xml:space="preserve">Цифровой билборд</t>
        </is>
      </c>
      <c r="D744" t="inlineStr">
        <is>
          <t xml:space="preserve">6×3</t>
        </is>
      </c>
      <c r="E744" t="inlineStr">
        <is>
          <t xml:space="preserve">A</t>
        </is>
      </c>
      <c r="F744" s="2" t="str">
        <f>HYPERLINK("https://yandex.ru/maps/?pt=73.262266,54.988089&amp;z=17","открыть")</f>
        <v>открыть</v>
      </c>
      <c r="G744" s="2" t="str">
        <f>HYPERLINK("https://mediafasadomsk.com/surfaces/bb-volgogradskaya-ul-24-2-lukashevicha-ul-a-900.jpg","смотреть")</f>
        <v>смотреть</v>
      </c>
      <c r="H744">
        <v>54.988089</v>
      </c>
      <c r="I744">
        <v>73.262266</v>
      </c>
    </row>
    <row r="745">
      <c r="A745">
        <v>744</v>
      </c>
      <c r="B745" t="inlineStr">
        <is>
          <t xml:space="preserve">Волгоградская, 24, центральная разделительная полоса</t>
        </is>
      </c>
      <c r="C745" t="inlineStr">
        <is>
          <t xml:space="preserve">Билборд</t>
        </is>
      </c>
      <c r="D745" t="inlineStr">
        <is>
          <t xml:space="preserve">6×3</t>
        </is>
      </c>
      <c r="E745" t="inlineStr">
        <is>
          <t xml:space="preserve">A</t>
        </is>
      </c>
      <c r="F745" s="2" t="str">
        <f>HYPERLINK("https://yandex.ru/maps/?pt=73.26149225279956,54.988058835317&amp;z=17","открыть")</f>
        <v>открыть</v>
      </c>
      <c r="G745" s="2" t="str">
        <f>HYPERLINK("https://mediafasadomsk.com/surfaces/bb-volgogradskaya-ul-24-crp-a-900.jpg","смотреть")</f>
        <v>смотреть</v>
      </c>
      <c r="H745">
        <v>54.988058835317</v>
      </c>
      <c r="I745">
        <v>73.26149225279956</v>
      </c>
    </row>
    <row r="746">
      <c r="A746">
        <v>745</v>
      </c>
      <c r="B746" t="inlineStr">
        <is>
          <t xml:space="preserve">Волгоградская, 28</t>
        </is>
      </c>
      <c r="C746" t="inlineStr">
        <is>
          <t xml:space="preserve">Билборд</t>
        </is>
      </c>
      <c r="D746" t="inlineStr">
        <is>
          <t xml:space="preserve">6×3</t>
        </is>
      </c>
      <c r="E746" t="inlineStr">
        <is>
          <t xml:space="preserve">A, B</t>
        </is>
      </c>
      <c r="F746" s="2" t="str">
        <f>HYPERLINK("https://yandex.ru/maps/?pt=73.254862,54.988431&amp;z=17","открыть")</f>
        <v>открыть</v>
      </c>
      <c r="G746" s="2" t="str">
        <f>HYPERLINK("https://mediafasadomsk.com/surfaces/bb-volgogradskaya-ul-28-a-900.jpg","смотреть")</f>
        <v>смотреть</v>
      </c>
      <c r="H746">
        <v>54.988431</v>
      </c>
      <c r="I746">
        <v>73.254862</v>
      </c>
    </row>
    <row r="747">
      <c r="A747">
        <v>746</v>
      </c>
      <c r="B747" t="inlineStr">
        <is>
          <t xml:space="preserve">Волгоградская, напротив дома 30</t>
        </is>
      </c>
      <c r="C747" t="inlineStr">
        <is>
          <t xml:space="preserve">Билборд</t>
        </is>
      </c>
      <c r="D747" t="inlineStr">
        <is>
          <t xml:space="preserve">6×3</t>
        </is>
      </c>
      <c r="E747" t="inlineStr">
        <is>
          <t xml:space="preserve">A, B</t>
        </is>
      </c>
      <c r="F747" s="2" t="str">
        <f>HYPERLINK("https://yandex.ru/maps/?pt=73.25508469848954,54.98825524459044&amp;z=17","открыть")</f>
        <v>открыть</v>
      </c>
      <c r="G747" s="2" t="str">
        <f>HYPERLINK("https://mediafasadomsk.com/surfaces/bb-volgogradskaya-ul-30-naprotiv-a-900.jpg","смотреть")</f>
        <v>смотреть</v>
      </c>
      <c r="H747">
        <v>54.98825524459044</v>
      </c>
      <c r="I747">
        <v>73.25508469848954</v>
      </c>
    </row>
    <row r="748">
      <c r="A748">
        <v>747</v>
      </c>
      <c r="B748" t="inlineStr">
        <is>
          <t xml:space="preserve">Волгоградская, напротив дома 40А</t>
        </is>
      </c>
      <c r="C748" t="inlineStr">
        <is>
          <t xml:space="preserve">Билборд</t>
        </is>
      </c>
      <c r="D748" t="inlineStr">
        <is>
          <t xml:space="preserve">6×3</t>
        </is>
      </c>
      <c r="E748" t="inlineStr">
        <is>
          <t xml:space="preserve">A, B</t>
        </is>
      </c>
      <c r="F748" s="2" t="str">
        <f>HYPERLINK("https://yandex.ru/maps/?pt=73.241015,54.988736&amp;z=17","открыть")</f>
        <v>открыть</v>
      </c>
      <c r="G748" s="2" t="str">
        <f>HYPERLINK("https://mediafasadomsk.com/surfaces/bb-volgogradskaya-ul-40a-naprotiv-a-900.jpg","смотреть")</f>
        <v>смотреть</v>
      </c>
      <c r="H748">
        <v>54.988736</v>
      </c>
      <c r="I748">
        <v>73.241015</v>
      </c>
    </row>
    <row r="749">
      <c r="A749">
        <v>748</v>
      </c>
      <c r="B749" t="inlineStr">
        <is>
          <t xml:space="preserve">Волгоградская, 49</t>
        </is>
      </c>
      <c r="C749" t="inlineStr">
        <is>
          <t xml:space="preserve">Билборд</t>
        </is>
      </c>
      <c r="D749" t="inlineStr">
        <is>
          <t xml:space="preserve">6×3</t>
        </is>
      </c>
      <c r="E749" t="inlineStr">
        <is>
          <t xml:space="preserve">A, B</t>
        </is>
      </c>
      <c r="F749" s="2" t="str">
        <f>HYPERLINK("https://yandex.ru/maps/?pt=73.24529999999984,54.98870000000001&amp;z=17","открыть")</f>
        <v>открыть</v>
      </c>
      <c r="G749" s="2" t="str">
        <f>HYPERLINK("https://mediafasadomsk.com/surfaces/bb-volgogradskaya-ul-49-a-900.jpg","смотреть")</f>
        <v>смотреть</v>
      </c>
      <c r="H749">
        <v>54.98870000000001</v>
      </c>
      <c r="I749">
        <v>73.24529999999984</v>
      </c>
    </row>
    <row r="750">
      <c r="A750">
        <v>749</v>
      </c>
      <c r="B750" t="inlineStr">
        <is>
          <t xml:space="preserve">Волгоградская, напротив дома 49</t>
        </is>
      </c>
      <c r="C750" t="inlineStr">
        <is>
          <t xml:space="preserve">Билборд</t>
        </is>
      </c>
      <c r="D750" t="inlineStr">
        <is>
          <t xml:space="preserve">6×3</t>
        </is>
      </c>
      <c r="E750" t="inlineStr">
        <is>
          <t xml:space="preserve">A, B</t>
        </is>
      </c>
      <c r="F750" s="2" t="str">
        <f>HYPERLINK("https://yandex.ru/maps/?pt=73.24528468053393,54.98879996007453&amp;z=17","открыть")</f>
        <v>открыть</v>
      </c>
      <c r="G750" s="2" t="str">
        <f>HYPERLINK("https://mediafasadomsk.com/surfaces/bb-volgogradskaya-ul-49-naprotiv-a-900.jpg","смотреть")</f>
        <v>смотреть</v>
      </c>
      <c r="H750">
        <v>54.98879996007453</v>
      </c>
      <c r="I750">
        <v>73.24528468053393</v>
      </c>
    </row>
    <row r="751">
      <c r="A751">
        <v>750</v>
      </c>
      <c r="B751" t="inlineStr">
        <is>
          <t xml:space="preserve">Волгоградская, 5</t>
        </is>
      </c>
      <c r="C751" t="inlineStr">
        <is>
          <t xml:space="preserve">Цифровой билборд</t>
        </is>
      </c>
      <c r="D751" t="inlineStr">
        <is>
          <t xml:space="preserve">6×3</t>
        </is>
      </c>
      <c r="E751" t="inlineStr">
        <is>
          <t xml:space="preserve">A, B</t>
        </is>
      </c>
      <c r="F751" s="2" t="str">
        <f>HYPERLINK("https://yandex.ru/maps/?pt=73.269056,54.984861&amp;z=17","открыть")</f>
        <v>открыть</v>
      </c>
      <c r="G751" s="2" t="str">
        <f>HYPERLINK("https://mediafasadomsk.com/surfaces/bb-volgogradskaya-ul-5-a-900.jpg","смотреть")</f>
        <v>смотреть</v>
      </c>
      <c r="H751">
        <v>54.984861</v>
      </c>
      <c r="I751">
        <v>73.269056</v>
      </c>
    </row>
    <row r="752">
      <c r="A752">
        <v>751</v>
      </c>
      <c r="B752" t="inlineStr">
        <is>
          <t xml:space="preserve">Волгоградская, 61 (а/с «Барс»)</t>
        </is>
      </c>
      <c r="C752" t="inlineStr">
        <is>
          <t xml:space="preserve">Билборд</t>
        </is>
      </c>
      <c r="D752" t="inlineStr">
        <is>
          <t xml:space="preserve">6×3</t>
        </is>
      </c>
      <c r="E752" t="inlineStr">
        <is>
          <t xml:space="preserve">A, B</t>
        </is>
      </c>
      <c r="F752" s="2" t="str">
        <f>HYPERLINK("https://yandex.ru/maps/?pt=73.2363537361673,54.98908864430906&amp;z=17","открыть")</f>
        <v>открыть</v>
      </c>
      <c r="G752" s="2" t="str">
        <f>HYPERLINK("https://mediafasadomsk.com/surfaces/bb-volgogradskaya-ul-61-a-s-bars-a-900.jpg","смотреть")</f>
        <v>смотреть</v>
      </c>
      <c r="H752">
        <v>54.98908864430906</v>
      </c>
      <c r="I752">
        <v>73.2363537361673</v>
      </c>
    </row>
    <row r="753">
      <c r="A753">
        <v>752</v>
      </c>
      <c r="B753" t="inlineStr">
        <is>
          <t xml:space="preserve">Волгоградская, 63 (а/с «Барс»)</t>
        </is>
      </c>
      <c r="C753" t="inlineStr">
        <is>
          <t xml:space="preserve">Билборд</t>
        </is>
      </c>
      <c r="D753" t="inlineStr">
        <is>
          <t xml:space="preserve">6×3</t>
        </is>
      </c>
      <c r="E753" t="inlineStr">
        <is>
          <t xml:space="preserve">A, B</t>
        </is>
      </c>
      <c r="F753" s="2" t="str">
        <f>HYPERLINK("https://yandex.ru/maps/?pt=73.23302243256923,54.990018175179195&amp;z=17","открыть")</f>
        <v>открыть</v>
      </c>
      <c r="G753" s="2" t="str">
        <f>HYPERLINK("https://mediafasadomsk.com/surfaces/bb-volgogradskaya-ul-63-a-s-bars-a-900.jpg","смотреть")</f>
        <v>смотреть</v>
      </c>
      <c r="H753">
        <v>54.990018175179195</v>
      </c>
      <c r="I753">
        <v>73.23302243256923</v>
      </c>
    </row>
    <row r="754">
      <c r="A754">
        <v>753</v>
      </c>
      <c r="B754" t="inlineStr">
        <is>
          <t xml:space="preserve">Волгоградская, напротив дома 69</t>
        </is>
      </c>
      <c r="C754" t="inlineStr">
        <is>
          <t xml:space="preserve">Билборд</t>
        </is>
      </c>
      <c r="D754" t="inlineStr">
        <is>
          <t xml:space="preserve">6×3</t>
        </is>
      </c>
      <c r="E754" t="inlineStr">
        <is>
          <t xml:space="preserve">A, B</t>
        </is>
      </c>
      <c r="F754" s="2" t="str">
        <f>HYPERLINK("https://yandex.ru/maps/?pt=73.21128399999976,54.997476000000006&amp;z=17","открыть")</f>
        <v>открыть</v>
      </c>
      <c r="G754" s="2" t="str">
        <f>HYPERLINK("https://mediafasadomsk.com/surfaces/bb-volgogradskaya-ul-69-naprotiv-a-900.jpg","смотреть")</f>
        <v>смотреть</v>
      </c>
      <c r="H754">
        <v>54.997476000000006</v>
      </c>
      <c r="I754">
        <v>73.21128399999976</v>
      </c>
    </row>
    <row r="755">
      <c r="A755">
        <v>754</v>
      </c>
      <c r="B755" t="inlineStr">
        <is>
          <t xml:space="preserve">Волгоградская, напротив дома 70</t>
        </is>
      </c>
      <c r="C755" t="inlineStr">
        <is>
          <t xml:space="preserve">Билборд</t>
        </is>
      </c>
      <c r="D755" t="inlineStr">
        <is>
          <t xml:space="preserve">6×3</t>
        </is>
      </c>
      <c r="E755" t="inlineStr">
        <is>
          <t xml:space="preserve">A, B</t>
        </is>
      </c>
      <c r="F755" s="2" t="str">
        <f>HYPERLINK("https://yandex.ru/maps/?pt=73.2289132883583,54.99140002869815&amp;z=17","открыть")</f>
        <v>открыть</v>
      </c>
      <c r="G755" s="2" t="str">
        <f>HYPERLINK("https://mediafasadomsk.com/surfaces/bb-volgogradskaya-ul-70-naprotiv-a-900.jpg","смотреть")</f>
        <v>смотреть</v>
      </c>
      <c r="H755">
        <v>54.99140002869815</v>
      </c>
      <c r="I755">
        <v>73.2289132883583</v>
      </c>
    </row>
    <row r="756">
      <c r="A756">
        <v>755</v>
      </c>
      <c r="B756" t="inlineStr">
        <is>
          <t xml:space="preserve">Волгоградская, 74</t>
        </is>
      </c>
      <c r="C756" t="inlineStr">
        <is>
          <t xml:space="preserve">Цифровой билборд</t>
        </is>
      </c>
      <c r="D756" t="inlineStr">
        <is>
          <t xml:space="preserve">6×3</t>
        </is>
      </c>
      <c r="E756" t="inlineStr">
        <is>
          <t xml:space="preserve">A, B</t>
        </is>
      </c>
      <c r="F756" s="2" t="str">
        <f>HYPERLINK("https://yandex.ru/maps/?pt=73.226574,54.992422&amp;z=17","открыть")</f>
        <v>открыть</v>
      </c>
      <c r="G756" s="2" t="str">
        <f>HYPERLINK("https://mediafasadomsk.com/surfaces/bb-volgogradskaya-ul-74-a-900.jpg","смотреть")</f>
        <v>смотреть</v>
      </c>
      <c r="H756">
        <v>54.992422</v>
      </c>
      <c r="I756">
        <v>73.226574</v>
      </c>
    </row>
    <row r="757">
      <c r="A757">
        <v>756</v>
      </c>
      <c r="B757" t="inlineStr">
        <is>
          <t xml:space="preserve">Волгоградская, чётная сторона, пересечение с бульваром Архитекторов (светофор, ТЦ «Мега», а/с «Барс»)</t>
        </is>
      </c>
      <c r="C757" t="inlineStr">
        <is>
          <t xml:space="preserve">Цифровой билборд</t>
        </is>
      </c>
      <c r="D757" t="inlineStr">
        <is>
          <t xml:space="preserve">6×3</t>
        </is>
      </c>
      <c r="E757" t="inlineStr">
        <is>
          <t xml:space="preserve">A1, B1</t>
        </is>
      </c>
      <c r="F757" s="2" t="str">
        <f>HYPERLINK("https://yandex.ru/maps/?pt=73.28667039184567,54.976164046055786&amp;z=17","открыть")</f>
        <v>открыть</v>
      </c>
      <c r="G757" s="2" t="str">
        <f>HYPERLINK("https://mediafasadomsk.com/surfaces/bb-volgogradskaya-ul-chetnaya-storona-h-s-bulvarom-arhitektorov-svetofor-tc-mega-a-s-bars-a-900.jpg","смотреть")</f>
        <v>смотреть</v>
      </c>
      <c r="H757">
        <v>54.976164046055786</v>
      </c>
      <c r="I757">
        <v>73.28667039184567</v>
      </c>
    </row>
    <row r="758">
      <c r="A758">
        <v>757</v>
      </c>
      <c r="B758" t="inlineStr">
        <is>
          <t xml:space="preserve">Волгоградская, чётная сторона, пересечение с улицей Сакена Сейфуллина (светофор, ТЦ «Мега», а/с «Барс»)</t>
        </is>
      </c>
      <c r="C758" t="inlineStr">
        <is>
          <t xml:space="preserve">Призматрон</t>
        </is>
      </c>
      <c r="D758" t="inlineStr">
        <is>
          <t xml:space="preserve">6×3</t>
        </is>
      </c>
      <c r="E758" t="inlineStr">
        <is>
          <t xml:space="preserve">A1, B1</t>
        </is>
      </c>
      <c r="F758" s="2" t="str">
        <f>HYPERLINK("https://yandex.ru/maps/?pt=73.2841759374612,54.9775278994797&amp;z=17","открыть")</f>
        <v>открыть</v>
      </c>
      <c r="G758" s="2" t="str">
        <f>HYPERLINK("https://mediafasadomsk.com/surfaces/bb-volgogradskaya-ul-chetnaya-storona-h-s-ul-sakena-sejfullina-svetofor-tc-mega-a-s-bars-a-900.jpg","смотреть")</f>
        <v>смотреть</v>
      </c>
      <c r="H758">
        <v>54.9775278994797</v>
      </c>
      <c r="I758">
        <v>73.2841759374612</v>
      </c>
    </row>
    <row r="759">
      <c r="A759">
        <v>758</v>
      </c>
      <c r="B759" t="inlineStr">
        <is>
          <t xml:space="preserve">Волгоградская, напротив дома 6А</t>
        </is>
      </c>
      <c r="C759" t="inlineStr">
        <is>
          <t xml:space="preserve">Билборд</t>
        </is>
      </c>
      <c r="D759" t="inlineStr">
        <is>
          <t xml:space="preserve">6×3</t>
        </is>
      </c>
      <c r="E759" t="inlineStr">
        <is>
          <t xml:space="preserve">A, B</t>
        </is>
      </c>
      <c r="F759" s="2" t="str">
        <f>HYPERLINK("https://yandex.ru/maps/?pt=73.271319,54.983618&amp;z=17","открыть")</f>
        <v>открыть</v>
      </c>
      <c r="G759" s="2" t="str">
        <f>HYPERLINK("https://mediafasadomsk.com/surfaces/bb-volgogradskaya-ul-d-6a-naprotiv-a-900.jpg","смотреть")</f>
        <v>смотреть</v>
      </c>
      <c r="H759">
        <v>54.983618</v>
      </c>
      <c r="I759">
        <v>73.271319</v>
      </c>
    </row>
    <row r="760">
      <c r="A760">
        <v>759</v>
      </c>
      <c r="B760" t="inlineStr">
        <is>
          <t xml:space="preserve">Пересечение Волгоградской и Лукашевича (дом 1)</t>
        </is>
      </c>
      <c r="C760" t="inlineStr">
        <is>
          <t xml:space="preserve">Билборд</t>
        </is>
      </c>
      <c r="D760" t="inlineStr">
        <is>
          <t xml:space="preserve">6×3</t>
        </is>
      </c>
      <c r="E760" t="inlineStr">
        <is>
          <t xml:space="preserve">B</t>
        </is>
      </c>
      <c r="F760" s="2" t="str">
        <f>HYPERLINK("https://yandex.ru/maps/?pt=73.268171,54.986239&amp;z=17","открыть")</f>
        <v>открыть</v>
      </c>
      <c r="G760" s="2" t="str">
        <f>HYPERLINK("https://mediafasadomsk.com/surfaces/bb-volgogradskaya-ul-lukashevicha-ul-1-a-900.jpg","смотреть")</f>
        <v>смотреть</v>
      </c>
      <c r="H760">
        <v>54.986239</v>
      </c>
      <c r="I760">
        <v>73.268171</v>
      </c>
    </row>
    <row r="761">
      <c r="A761">
        <v>760</v>
      </c>
      <c r="B761" t="inlineStr">
        <is>
          <t xml:space="preserve">Волгоградская, нечётная сторона, до пересечения с улицей Сакена Сейфуллина (светофор, ТЦ «Мега», а/с «Барс»)</t>
        </is>
      </c>
      <c r="C761" t="inlineStr">
        <is>
          <t xml:space="preserve">Цифровой билборд</t>
        </is>
      </c>
      <c r="D761" t="inlineStr">
        <is>
          <t xml:space="preserve">6×3</t>
        </is>
      </c>
      <c r="E761" t="inlineStr">
        <is>
          <t xml:space="preserve">A1, B1</t>
        </is>
      </c>
      <c r="F761" s="2" t="str">
        <f>HYPERLINK("https://yandex.ru/maps/?pt=73.28384334354327,54.977383200521324&amp;z=17","открыть")</f>
        <v>открыть</v>
      </c>
      <c r="G761" s="2" t="str">
        <f>HYPERLINK("https://mediafasadomsk.com/surfaces/bb-volgogradskaya-ul-nechetnaya-storona-do-h-s-ul-sakena-sejfullina-svetofor-tc-mega-a-s-bars-a-900.jpg","смотреть")</f>
        <v>смотреть</v>
      </c>
      <c r="H761">
        <v>54.977383200521324</v>
      </c>
      <c r="I761">
        <v>73.28384334354327</v>
      </c>
    </row>
    <row r="762">
      <c r="A762">
        <v>761</v>
      </c>
      <c r="B762" t="inlineStr">
        <is>
          <t xml:space="preserve">Волгоградская, нечётная сторона, после пересечения с улицей Сакена Сейфуллина (светофор, а/с «Барс»)</t>
        </is>
      </c>
      <c r="C762" t="inlineStr">
        <is>
          <t xml:space="preserve">Билборд</t>
        </is>
      </c>
      <c r="D762" t="inlineStr">
        <is>
          <t xml:space="preserve">6×3</t>
        </is>
      </c>
      <c r="E762" t="inlineStr">
        <is>
          <t xml:space="preserve">A, B</t>
        </is>
      </c>
      <c r="F762" s="2" t="str">
        <f>HYPERLINK("https://yandex.ru/maps/?pt=73.28414911537135,54.97722619137792&amp;z=17","открыть")</f>
        <v>открыть</v>
      </c>
      <c r="G762" s="2" t="str">
        <f>HYPERLINK("https://mediafasadomsk.com/surfaces/bb-volgogradskaya-ul-nechetnaya-storona-posle-h-s-ul-sakena-sejfullina-svetofor-a-s-bars-a-900.jpg","смотреть")</f>
        <v>смотреть</v>
      </c>
      <c r="H762">
        <v>54.97722619137792</v>
      </c>
      <c r="I762">
        <v>73.28414911537135</v>
      </c>
    </row>
    <row r="763">
      <c r="A763">
        <v>762</v>
      </c>
      <c r="B763" t="inlineStr">
        <is>
          <t xml:space="preserve">Волховстроя, 18 (светофор)</t>
        </is>
      </c>
      <c r="C763" t="inlineStr">
        <is>
          <t xml:space="preserve">Билборд</t>
        </is>
      </c>
      <c r="D763" t="inlineStr">
        <is>
          <t xml:space="preserve">6×3</t>
        </is>
      </c>
      <c r="E763" t="inlineStr">
        <is>
          <t xml:space="preserve">A, B</t>
        </is>
      </c>
      <c r="F763" s="2" t="str">
        <f>HYPERLINK("https://yandex.ru/maps/?pt=73.35639500000023,55.002371&amp;z=17","открыть")</f>
        <v>открыть</v>
      </c>
      <c r="G763" s="2" t="str">
        <f>HYPERLINK("https://mediafasadomsk.com/surfaces/bb-volhovstroya-ul-18-svetofor-a-900.jpg","смотреть")</f>
        <v>смотреть</v>
      </c>
      <c r="H763">
        <v>55.002371</v>
      </c>
      <c r="I763">
        <v>73.35639500000023</v>
      </c>
    </row>
    <row r="764">
      <c r="A764">
        <v>763</v>
      </c>
      <c r="B764" t="inlineStr">
        <is>
          <t xml:space="preserve">Волховстроя, 3</t>
        </is>
      </c>
      <c r="C764" t="inlineStr">
        <is>
          <t xml:space="preserve">Билборд</t>
        </is>
      </c>
      <c r="D764" t="inlineStr">
        <is>
          <t xml:space="preserve">6×3</t>
        </is>
      </c>
      <c r="E764" t="inlineStr">
        <is>
          <t xml:space="preserve">B</t>
        </is>
      </c>
      <c r="F764" s="2" t="str">
        <f>HYPERLINK("https://yandex.ru/maps/?pt=73.35455250845068,55.00355622978088&amp;z=17","открыть")</f>
        <v>открыть</v>
      </c>
      <c r="G764" s="2" t="str">
        <f>HYPERLINK("https://mediafasadomsk.com/surfaces/bb-volhovstroya-ul-3-a-900.jpg","смотреть")</f>
        <v>смотреть</v>
      </c>
      <c r="H764">
        <v>55.00355622978088</v>
      </c>
      <c r="I764">
        <v>73.35455250845068</v>
      </c>
    </row>
    <row r="765">
      <c r="A765">
        <v>764</v>
      </c>
      <c r="B765" t="inlineStr">
        <is>
          <t xml:space="preserve">Волховстроя, чётная сторона, пересечение с улицей Северная 5-я</t>
        </is>
      </c>
      <c r="C765" t="inlineStr">
        <is>
          <t xml:space="preserve">Билборд</t>
        </is>
      </c>
      <c r="D765" t="inlineStr">
        <is>
          <t xml:space="preserve">6×3</t>
        </is>
      </c>
      <c r="E765" t="inlineStr">
        <is>
          <t xml:space="preserve">A, B</t>
        </is>
      </c>
      <c r="F765" s="2" t="str">
        <f>HYPERLINK("https://yandex.ru/maps/?pt=73.35147710000332,55.00632436630136&amp;z=17","открыть")</f>
        <v>открыть</v>
      </c>
      <c r="G765" s="2" t="str">
        <f>HYPERLINK("https://mediafasadomsk.com/surfaces/bb-volhovstroya-ul-chetnaya-storona-h-s-ul-severnaya-5-ya-a-900.jpg","смотреть")</f>
        <v>смотреть</v>
      </c>
      <c r="H765">
        <v>55.00632436630136</v>
      </c>
      <c r="I765">
        <v>73.35147710000332</v>
      </c>
    </row>
    <row r="766">
      <c r="A766">
        <v>765</v>
      </c>
      <c r="B766" t="inlineStr">
        <is>
          <t xml:space="preserve">Волховстроя, 23</t>
        </is>
      </c>
      <c r="C766" t="inlineStr">
        <is>
          <t xml:space="preserve">Билборд</t>
        </is>
      </c>
      <c r="D766" t="inlineStr">
        <is>
          <t xml:space="preserve">6×3</t>
        </is>
      </c>
      <c r="E766" t="inlineStr">
        <is>
          <t xml:space="preserve">A, B</t>
        </is>
      </c>
      <c r="F766" s="2" t="str">
        <f>HYPERLINK("https://yandex.ru/maps/?pt=73.348236,55.008658&amp;z=17","открыть")</f>
        <v>открыть</v>
      </c>
      <c r="G766" s="2" t="str">
        <f>HYPERLINK("https://mediafasadomsk.com/surfaces/bb-volhovstroya-ul-d-23-a-900.jpg","смотреть")</f>
        <v>смотреть</v>
      </c>
      <c r="H766">
        <v>55.008658</v>
      </c>
      <c r="I766">
        <v>73.348236</v>
      </c>
    </row>
    <row r="767">
      <c r="A767">
        <v>766</v>
      </c>
      <c r="B767" t="inlineStr">
        <is>
          <t xml:space="preserve">Волховстроя, Долгирева, 1/1</t>
        </is>
      </c>
      <c r="C767" t="inlineStr">
        <is>
          <t xml:space="preserve">Цифровой билборд</t>
        </is>
      </c>
      <c r="D767" t="inlineStr">
        <is>
          <t xml:space="preserve">6×3</t>
        </is>
      </c>
      <c r="E767" t="inlineStr">
        <is>
          <t xml:space="preserve">A</t>
        </is>
      </c>
      <c r="F767" s="2" t="str">
        <f>HYPERLINK("https://yandex.ru/maps/?pt=73.349923,55.007637&amp;z=17","открыть")</f>
        <v>открыть</v>
      </c>
      <c r="G767" s="2" t="str">
        <f>HYPERLINK("https://mediafasadomsk.com/surfaces/bb-volhovstroya-ul-dolgireva-ul-1-1-a-900.jpg","смотреть")</f>
        <v>смотреть</v>
      </c>
      <c r="H767">
        <v>55.007637</v>
      </c>
      <c r="I767">
        <v>73.349923</v>
      </c>
    </row>
    <row r="768">
      <c r="A768">
        <v>767</v>
      </c>
      <c r="B768" t="inlineStr">
        <is>
          <t xml:space="preserve">Волховстроя, нечётная сторона, пересечение с улицей Северная 6-я</t>
        </is>
      </c>
      <c r="C768" t="inlineStr">
        <is>
          <t xml:space="preserve">Билборд</t>
        </is>
      </c>
      <c r="D768" t="inlineStr">
        <is>
          <t xml:space="preserve">6×3</t>
        </is>
      </c>
      <c r="E768" t="inlineStr">
        <is>
          <t xml:space="preserve">A, B</t>
        </is>
      </c>
      <c r="F768" s="2" t="str">
        <f>HYPERLINK("https://yandex.ru/maps/?pt=73.35076599999994,55.00662300000001&amp;z=17","открыть")</f>
        <v>открыть</v>
      </c>
      <c r="G768" s="2" t="str">
        <f>HYPERLINK("https://mediafasadomsk.com/surfaces/bb-volhovstroya-ul-nechetnaya-storona-h-s-ul-severnaya-6-ya-a-900.jpg","смотреть")</f>
        <v>смотреть</v>
      </c>
      <c r="H768">
        <v>55.00662300000001</v>
      </c>
      <c r="I768">
        <v>73.35076599999994</v>
      </c>
    </row>
    <row r="769">
      <c r="A769">
        <v>768</v>
      </c>
      <c r="B769" t="inlineStr">
        <is>
          <t xml:space="preserve">Волховстроя, Северная 3-я</t>
        </is>
      </c>
      <c r="C769" t="inlineStr">
        <is>
          <t xml:space="preserve">Билборд</t>
        </is>
      </c>
      <c r="D769" t="inlineStr">
        <is>
          <t xml:space="preserve">6×3</t>
        </is>
      </c>
      <c r="E769" t="inlineStr">
        <is>
          <t xml:space="preserve">A, B</t>
        </is>
      </c>
      <c r="F769" s="2" t="str">
        <f>HYPERLINK("https://yandex.ru/maps/?pt=73.353531,55.00474&amp;z=17","открыть")</f>
        <v>открыть</v>
      </c>
      <c r="G769" s="2" t="str">
        <f>HYPERLINK("https://mediafasadomsk.com/surfaces/bb-volhovstroya-ul-severnaya-3-ya-ul-a-900.jpg","смотреть")</f>
        <v>смотреть</v>
      </c>
      <c r="H769">
        <v>55.00474</v>
      </c>
      <c r="I769">
        <v>73.353531</v>
      </c>
    </row>
    <row r="770">
      <c r="A770">
        <v>769</v>
      </c>
      <c r="B770" t="inlineStr">
        <is>
          <t xml:space="preserve">Пересечение 2-й Восточной и Барнаульской (светофор, позиция 1)</t>
        </is>
      </c>
      <c r="C770" t="inlineStr">
        <is>
          <t xml:space="preserve">Билборд</t>
        </is>
      </c>
      <c r="D770" t="inlineStr">
        <is>
          <t xml:space="preserve">6×3</t>
        </is>
      </c>
      <c r="E770" t="inlineStr">
        <is>
          <t xml:space="preserve">A</t>
        </is>
      </c>
      <c r="F770" s="2" t="str">
        <f>HYPERLINK("https://yandex.ru/maps/?pt=73.40141399999995,55.00425599999999&amp;z=17","открыть")</f>
        <v>открыть</v>
      </c>
      <c r="G770" s="2" t="str">
        <f>HYPERLINK("https://mediafasadomsk.com/surfaces/bb-vostochnaya-2-ya-ul-h-s-ul-barnaulskaya-svetofor-poz-1-a-900.jpg","смотреть")</f>
        <v>смотреть</v>
      </c>
      <c r="H770">
        <v>55.00425599999999</v>
      </c>
      <c r="I770">
        <v>73.40141399999995</v>
      </c>
    </row>
    <row r="771">
      <c r="A771">
        <v>770</v>
      </c>
      <c r="B771" t="inlineStr">
        <is>
          <t xml:space="preserve">Пересечение 2-й Восточной и Барнаульской (светофор, позиция 2)</t>
        </is>
      </c>
      <c r="C771" t="inlineStr">
        <is>
          <t xml:space="preserve">Билборд</t>
        </is>
      </c>
      <c r="D771" t="inlineStr">
        <is>
          <t xml:space="preserve">6×3</t>
        </is>
      </c>
      <c r="E771" t="inlineStr">
        <is>
          <t xml:space="preserve">A</t>
        </is>
      </c>
      <c r="F771" s="2" t="str">
        <f>HYPERLINK("https://yandex.ru/maps/?pt=73.40149983068996,55.00428982616381&amp;z=17","открыть")</f>
        <v>открыть</v>
      </c>
      <c r="G771" s="2" t="str">
        <f>HYPERLINK("https://mediafasadomsk.com/surfaces/bb-vostochnaya-2-ya-ul-h-s-ul-barnaulskaya-svetofor-poz-2-a-900.jpg","смотреть")</f>
        <v>смотреть</v>
      </c>
      <c r="H771">
        <v>55.00428982616381</v>
      </c>
      <c r="I771">
        <v>73.40149983068996</v>
      </c>
    </row>
    <row r="772">
      <c r="A772">
        <v>771</v>
      </c>
      <c r="B772" t="inlineStr">
        <is>
          <t xml:space="preserve">Пересечение 2-й Восточной и Барнаульской (светофор, позиция 3)</t>
        </is>
      </c>
      <c r="C772" t="inlineStr">
        <is>
          <t xml:space="preserve">Билборд</t>
        </is>
      </c>
      <c r="D772" t="inlineStr">
        <is>
          <t xml:space="preserve">6×3</t>
        </is>
      </c>
      <c r="E772" t="inlineStr">
        <is>
          <t xml:space="preserve">A</t>
        </is>
      </c>
      <c r="F772" s="2" t="str">
        <f>HYPERLINK("https://yandex.ru/maps/?pt=73.40160711905045,55.00432674555363&amp;z=17","открыть")</f>
        <v>открыть</v>
      </c>
      <c r="G772" s="2" t="str">
        <f>HYPERLINK("https://mediafasadomsk.com/surfaces/bb-vostochnaya-2-ya-ul-h-s-ul-barnaulskaya-svetofor-poz-3-a-900.jpg","смотреть")</f>
        <v>смотреть</v>
      </c>
      <c r="H772">
        <v>55.00432674555363</v>
      </c>
      <c r="I772">
        <v>73.40160711905045</v>
      </c>
    </row>
    <row r="773">
      <c r="A773">
        <v>772</v>
      </c>
      <c r="B773" t="inlineStr">
        <is>
          <t xml:space="preserve">Ярослава Гашека, 16/1</t>
        </is>
      </c>
      <c r="C773" t="inlineStr">
        <is>
          <t xml:space="preserve">Цифровой билборд</t>
        </is>
      </c>
      <c r="D773" t="inlineStr">
        <is>
          <t xml:space="preserve">6×3</t>
        </is>
      </c>
      <c r="E773" t="inlineStr">
        <is>
          <t xml:space="preserve">A</t>
        </is>
      </c>
      <c r="F773" s="2" t="str">
        <f>HYPERLINK("https://yandex.ru/maps/?pt=73.446188,54.908405&amp;z=17","открыть")</f>
        <v>открыть</v>
      </c>
      <c r="G773" s="2" t="str">
        <f>HYPERLINK("https://mediafasadomsk.com/surfaces/bb-yaroslava-gasheka-ul-16-1-a-900.jpg","смотреть")</f>
        <v>смотреть</v>
      </c>
      <c r="H773">
        <v>54.908405</v>
      </c>
      <c r="I773">
        <v>73.446188</v>
      </c>
    </row>
    <row r="774">
      <c r="A774">
        <v>773</v>
      </c>
      <c r="B774" t="inlineStr">
        <is>
          <t xml:space="preserve">Ярослава Гашека, 16/1</t>
        </is>
      </c>
      <c r="C774" t="inlineStr">
        <is>
          <t xml:space="preserve">Билборд</t>
        </is>
      </c>
      <c r="D774" t="inlineStr">
        <is>
          <t xml:space="preserve">6×3</t>
        </is>
      </c>
      <c r="E774" t="inlineStr">
        <is>
          <t xml:space="preserve">B</t>
        </is>
      </c>
      <c r="F774" s="2" t="str">
        <f>HYPERLINK("https://yandex.ru/maps/?pt=73.446188,54.908405&amp;z=17","открыть")</f>
        <v>открыть</v>
      </c>
      <c r="G774" s="2" t="str">
        <f>HYPERLINK("https://mediafasadomsk.com/surfaces/bb-yaroslava-gasheka-ul-16-1-b-a-900.jpg","смотреть")</f>
        <v>смотреть</v>
      </c>
      <c r="H774">
        <v>54.908405</v>
      </c>
      <c r="I774">
        <v>73.446188</v>
      </c>
    </row>
    <row r="775">
      <c r="A775">
        <v>774</v>
      </c>
      <c r="B775" t="inlineStr">
        <is>
          <t xml:space="preserve">Ярослава Гашека, 3/3 (светофор)</t>
        </is>
      </c>
      <c r="C775" t="inlineStr">
        <is>
          <t xml:space="preserve">Билборд</t>
        </is>
      </c>
      <c r="D775" t="inlineStr">
        <is>
          <t xml:space="preserve">6×3</t>
        </is>
      </c>
      <c r="E775" t="inlineStr">
        <is>
          <t xml:space="preserve">A, B</t>
        </is>
      </c>
      <c r="F775" s="2" t="str">
        <f>HYPERLINK("https://yandex.ru/maps/?pt=73.45023125410064,54.90841909413064&amp;z=17","открыть")</f>
        <v>открыть</v>
      </c>
      <c r="G775" s="2" t="str">
        <f>HYPERLINK("https://mediafasadomsk.com/surfaces/bb-yaroslava-gasheka-ul-3-3-svetofor-a-900.jpg","смотреть")</f>
        <v>смотреть</v>
      </c>
      <c r="H775">
        <v>54.90841909413064</v>
      </c>
      <c r="I775">
        <v>73.45023125410064</v>
      </c>
    </row>
    <row r="776">
      <c r="A776">
        <v>775</v>
      </c>
      <c r="B776" t="inlineStr">
        <is>
          <t xml:space="preserve">Ярослава Гашека, 5 (светофор)</t>
        </is>
      </c>
      <c r="C776" t="inlineStr">
        <is>
          <t xml:space="preserve">Цифровой билборд</t>
        </is>
      </c>
      <c r="D776" t="inlineStr">
        <is>
          <t xml:space="preserve">6×3</t>
        </is>
      </c>
      <c r="E776" t="inlineStr">
        <is>
          <t xml:space="preserve">A1, B1</t>
        </is>
      </c>
      <c r="F776" s="2" t="str">
        <f>HYPERLINK("https://yandex.ru/maps/?pt=73.44834099999974,54.90844500000001&amp;z=17","открыть")</f>
        <v>открыть</v>
      </c>
      <c r="G776" s="2" t="str">
        <f>HYPERLINK("https://mediafasadomsk.com/surfaces/bb-yaroslava-gasheka-ul-5-svetofor-a-900.jpg","смотреть")</f>
        <v>смотреть</v>
      </c>
      <c r="H776">
        <v>54.90844500000001</v>
      </c>
      <c r="I776">
        <v>73.44834099999974</v>
      </c>
    </row>
    <row r="777">
      <c r="A777">
        <v>776</v>
      </c>
      <c r="B777" t="inlineStr">
        <is>
          <t xml:space="preserve">Заозёрная, 11/1 (у пересечения с проспектом Менделеева, светофор, ТЦ «Первомайский»)</t>
        </is>
      </c>
      <c r="C777" t="inlineStr">
        <is>
          <t xml:space="preserve">Цифровой билборд</t>
        </is>
      </c>
      <c r="D777" t="inlineStr">
        <is>
          <t xml:space="preserve">6×3</t>
        </is>
      </c>
      <c r="E777" t="inlineStr">
        <is>
          <t xml:space="preserve">A1</t>
        </is>
      </c>
      <c r="F777" s="2" t="str">
        <f>HYPERLINK("https://yandex.ru/maps/?pt=73.31508782427359,55.04613494646667&amp;z=17","открыть")</f>
        <v>открыть</v>
      </c>
      <c r="G777" s="2" t="str">
        <f>HYPERLINK("https://mediafasadomsk.com/surfaces/bb-zaozernaya-ul-11-1-h-s-prospektom-mendeleeva-svetofor-tc-pervomajskij-a-900.jpg","смотреть")</f>
        <v>смотреть</v>
      </c>
      <c r="H777">
        <v>55.04613494646667</v>
      </c>
      <c r="I777">
        <v>73.31508782427359</v>
      </c>
    </row>
    <row r="778">
      <c r="A778">
        <v>777</v>
      </c>
      <c r="B778" t="inlineStr">
        <is>
          <t xml:space="preserve">Заозёрная, 11/1 (у пересечения с проспектом Менделеева, светофор, ТЦ «Первомайский»)</t>
        </is>
      </c>
      <c r="C778" t="inlineStr">
        <is>
          <t xml:space="preserve">Билборд</t>
        </is>
      </c>
      <c r="D778" t="inlineStr">
        <is>
          <t xml:space="preserve">6×3</t>
        </is>
      </c>
      <c r="E778" t="inlineStr">
        <is>
          <t xml:space="preserve">B</t>
        </is>
      </c>
      <c r="F778" s="2" t="str">
        <f>HYPERLINK("https://yandex.ru/maps/?pt=73.31508782427359,55.04613494646667&amp;z=17","открыть")</f>
        <v>открыть</v>
      </c>
      <c r="G778" s="2" t="str">
        <f>HYPERLINK("https://mediafasadomsk.com/surfaces/bb-zaozernaya-ul-11-1-h-s-prospektom-mendeleeva-svetofor-tc-pervomajskij-b-a-900.jpg","смотреть")</f>
        <v>смотреть</v>
      </c>
      <c r="H778">
        <v>55.04613494646667</v>
      </c>
      <c r="I778">
        <v>73.31508782427359</v>
      </c>
    </row>
    <row r="779">
      <c r="A779">
        <v>778</v>
      </c>
      <c r="B779" t="inlineStr">
        <is>
          <t xml:space="preserve">Заозёрная, 17 (светофор)</t>
        </is>
      </c>
      <c r="C779" t="inlineStr">
        <is>
          <t xml:space="preserve">Билборд</t>
        </is>
      </c>
      <c r="D779" t="inlineStr">
        <is>
          <t xml:space="preserve">6×3</t>
        </is>
      </c>
      <c r="E779" t="inlineStr">
        <is>
          <t xml:space="preserve">A, B</t>
        </is>
      </c>
      <c r="F779" s="2" t="str">
        <f>HYPERLINK("https://yandex.ru/maps/?pt=73.3134704520759,55.04219925151401&amp;z=17","открыть")</f>
        <v>открыть</v>
      </c>
      <c r="G779" s="2" t="str">
        <f>HYPERLINK("https://mediafasadomsk.com/surfaces/bb-zaozernaya-ul-17-svetofor-a-900.jpg","смотреть")</f>
        <v>смотреть</v>
      </c>
      <c r="H779">
        <v>55.04219925151401</v>
      </c>
      <c r="I779">
        <v>73.3134704520759</v>
      </c>
    </row>
    <row r="780">
      <c r="A780">
        <v>779</v>
      </c>
      <c r="B780" t="inlineStr">
        <is>
          <t xml:space="preserve">Заозёрная, 19А (светофор)</t>
        </is>
      </c>
      <c r="C780" t="inlineStr">
        <is>
          <t xml:space="preserve">Билборд</t>
        </is>
      </c>
      <c r="D780" t="inlineStr">
        <is>
          <t xml:space="preserve">6×3</t>
        </is>
      </c>
      <c r="E780" t="inlineStr">
        <is>
          <t xml:space="preserve">A, B</t>
        </is>
      </c>
      <c r="F780" s="2" t="str">
        <f>HYPERLINK("https://yandex.ru/maps/?pt=73.3126000000003,55.0402&amp;z=17","открыть")</f>
        <v>открыть</v>
      </c>
      <c r="G780" s="2" t="str">
        <f>HYPERLINK("https://mediafasadomsk.com/surfaces/bb-zaozernaya-ul-19a-svetofor-a-900.jpg","смотреть")</f>
        <v>смотреть</v>
      </c>
      <c r="H780">
        <v>55.0402</v>
      </c>
      <c r="I780">
        <v>73.3126000000003</v>
      </c>
    </row>
    <row r="781">
      <c r="A781">
        <v>780</v>
      </c>
      <c r="B781" t="inlineStr">
        <is>
          <t xml:space="preserve">Заозёрная, напротив дома 21 (светофор)</t>
        </is>
      </c>
      <c r="C781" t="inlineStr">
        <is>
          <t xml:space="preserve">Билборд</t>
        </is>
      </c>
      <c r="D781" t="inlineStr">
        <is>
          <t xml:space="preserve">6×3</t>
        </is>
      </c>
      <c r="E781" t="inlineStr">
        <is>
          <t xml:space="preserve">A, B</t>
        </is>
      </c>
      <c r="F781" s="2" t="str">
        <f>HYPERLINK("https://yandex.ru/maps/?pt=73.3116710186003,55.039775174774476&amp;z=17","открыть")</f>
        <v>открыть</v>
      </c>
      <c r="G781" s="2" t="str">
        <f>HYPERLINK("https://mediafasadomsk.com/surfaces/bb-zaozernaya-ul-21-naprotiv-svetofor-a-900.jpg","смотреть")</f>
        <v>смотреть</v>
      </c>
      <c r="H781">
        <v>55.039775174774476</v>
      </c>
      <c r="I781">
        <v>73.3116710186003</v>
      </c>
    </row>
    <row r="782">
      <c r="A782">
        <v>781</v>
      </c>
      <c r="B782" t="inlineStr">
        <is>
          <t xml:space="preserve">Заозёрная, 21 (светофор)</t>
        </is>
      </c>
      <c r="C782" t="inlineStr">
        <is>
          <t xml:space="preserve">Билборд</t>
        </is>
      </c>
      <c r="D782" t="inlineStr">
        <is>
          <t xml:space="preserve">6×3</t>
        </is>
      </c>
      <c r="E782" t="inlineStr">
        <is>
          <t xml:space="preserve">A, B</t>
        </is>
      </c>
      <c r="F782" s="2" t="str">
        <f>HYPERLINK("https://yandex.ru/maps/?pt=73.31207570338752,55.03907015988815&amp;z=17","открыть")</f>
        <v>открыть</v>
      </c>
      <c r="G782" s="2" t="str">
        <f>HYPERLINK("https://mediafasadomsk.com/surfaces/bb-zaozernaya-ul-21-svetofor-a-900.jpg","смотреть")</f>
        <v>смотреть</v>
      </c>
      <c r="H782">
        <v>55.03907015988815</v>
      </c>
      <c r="I782">
        <v>73.31207570338752</v>
      </c>
    </row>
    <row r="783">
      <c r="A783">
        <v>782</v>
      </c>
      <c r="B783" t="inlineStr">
        <is>
          <t xml:space="preserve">Заозёрная, 24Г (светофор, ТЦ «Первомайский»)</t>
        </is>
      </c>
      <c r="C783" t="inlineStr">
        <is>
          <t xml:space="preserve">Билборд</t>
        </is>
      </c>
      <c r="D783" t="inlineStr">
        <is>
          <t xml:space="preserve">6×3</t>
        </is>
      </c>
      <c r="E783" t="inlineStr">
        <is>
          <t xml:space="preserve">A, B</t>
        </is>
      </c>
      <c r="F783" s="2" t="str">
        <f>HYPERLINK("https://yandex.ru/maps/?pt=73.3155196597643,55.04835540931039&amp;z=17","открыть")</f>
        <v>открыть</v>
      </c>
      <c r="G783" s="2" t="str">
        <f>HYPERLINK("https://mediafasadomsk.com/surfaces/bb-zaozernaya-ul-24g-svetofor-tc-pervomajskij-a-900.jpg","смотреть")</f>
        <v>смотреть</v>
      </c>
      <c r="H783">
        <v>55.04835540931039</v>
      </c>
      <c r="I783">
        <v>73.3155196597643</v>
      </c>
    </row>
    <row r="784">
      <c r="A784">
        <v>783</v>
      </c>
      <c r="B784" t="inlineStr">
        <is>
          <t xml:space="preserve">Заозёрная, 27/1</t>
        </is>
      </c>
      <c r="C784" t="inlineStr">
        <is>
          <t xml:space="preserve">Билборд</t>
        </is>
      </c>
      <c r="D784" t="inlineStr">
        <is>
          <t xml:space="preserve">6×3</t>
        </is>
      </c>
      <c r="E784" t="inlineStr">
        <is>
          <t xml:space="preserve">A, A1</t>
        </is>
      </c>
      <c r="F784" s="2" t="str">
        <f>HYPERLINK("https://yandex.ru/maps/?pt=73.31189,55.03716&amp;z=17","открыть")</f>
        <v>открыть</v>
      </c>
      <c r="G784" s="2" t="str">
        <f>HYPERLINK("https://mediafasadomsk.com/surfaces/bb-zaozernaya-ul-27-k1-a-900.jpg","смотреть")</f>
        <v>смотреть</v>
      </c>
      <c r="H784">
        <v>55.03716</v>
      </c>
      <c r="I784">
        <v>73.31189</v>
      </c>
    </row>
    <row r="785">
      <c r="A785">
        <v>784</v>
      </c>
      <c r="B785" t="inlineStr">
        <is>
          <t xml:space="preserve">Заозёрная, 28 (у пересечения с проспектом Менделеева, светофор, ТЦ «Первомайский»)</t>
        </is>
      </c>
      <c r="C785" t="inlineStr">
        <is>
          <t xml:space="preserve">Билборд</t>
        </is>
      </c>
      <c r="D785" t="inlineStr">
        <is>
          <t xml:space="preserve">6×3</t>
        </is>
      </c>
      <c r="E785" t="inlineStr">
        <is>
          <t xml:space="preserve">A, B</t>
        </is>
      </c>
      <c r="F785" s="2" t="str">
        <f>HYPERLINK("https://yandex.ru/maps/?pt=73.31430193687072,55.045598658488785&amp;z=17","открыть")</f>
        <v>открыть</v>
      </c>
      <c r="G785" s="2" t="str">
        <f>HYPERLINK("https://mediafasadomsk.com/surfaces/bb-zaozernaya-ul-28-h-s-prospektom-mendeleeva-svetofor-tc-pervomajskij-a-900.jpg","смотреть")</f>
        <v>смотреть</v>
      </c>
      <c r="H785">
        <v>55.045598658488785</v>
      </c>
      <c r="I785">
        <v>73.31430193687072</v>
      </c>
    </row>
    <row r="786">
      <c r="A786">
        <v>785</v>
      </c>
      <c r="B786" t="inlineStr">
        <is>
          <t xml:space="preserve">Заозёрная, 28 (светофор, ТЦ «Первомайский»)</t>
        </is>
      </c>
      <c r="C786" t="inlineStr">
        <is>
          <t xml:space="preserve">Билборд</t>
        </is>
      </c>
      <c r="D786" t="inlineStr">
        <is>
          <t xml:space="preserve">6×3</t>
        </is>
      </c>
      <c r="E786" t="inlineStr">
        <is>
          <t xml:space="preserve">A, B</t>
        </is>
      </c>
      <c r="F786" s="2" t="str">
        <f>HYPERLINK("https://yandex.ru/maps/?pt=73.3150046756334,55.04716299101514&amp;z=17","открыть")</f>
        <v>открыть</v>
      </c>
      <c r="G786" s="2" t="str">
        <f>HYPERLINK("https://mediafasadomsk.com/surfaces/bb-zaozernaya-ul-28-svetofor-tc-pervomajskij-a-900.jpg","смотреть")</f>
        <v>смотреть</v>
      </c>
      <c r="H786">
        <v>55.04716299101514</v>
      </c>
      <c r="I786">
        <v>73.3150046756334</v>
      </c>
    </row>
    <row r="787">
      <c r="A787">
        <v>786</v>
      </c>
      <c r="B787" t="inlineStr">
        <is>
          <t xml:space="preserve">Заозёрная, 32 (у пересечения с проспектом Менделеева, светофор, ТЦ «Первомайский»)</t>
        </is>
      </c>
      <c r="C787" t="inlineStr">
        <is>
          <t xml:space="preserve">Билборд</t>
        </is>
      </c>
      <c r="D787" t="inlineStr">
        <is>
          <t xml:space="preserve">6×3</t>
        </is>
      </c>
      <c r="E787" t="inlineStr">
        <is>
          <t xml:space="preserve">A, B</t>
        </is>
      </c>
      <c r="F787" s="2" t="str">
        <f>HYPERLINK("https://yandex.ru/maps/?pt=73.31420000000018,55.04540000000002&amp;z=17","открыть")</f>
        <v>открыть</v>
      </c>
      <c r="G787" s="2" t="str">
        <f>HYPERLINK("https://mediafasadomsk.com/surfaces/bb-zaozernaya-ul-32-h-s-prospektom-mendeleeva-svetofor-tc-pervomajskij-a-900.jpg","смотреть")</f>
        <v>смотреть</v>
      </c>
      <c r="H787">
        <v>55.04540000000002</v>
      </c>
      <c r="I787">
        <v>73.31420000000018</v>
      </c>
    </row>
    <row r="788">
      <c r="A788">
        <v>787</v>
      </c>
      <c r="B788" t="inlineStr">
        <is>
          <t xml:space="preserve">Заозёрная, 36 (светофор)</t>
        </is>
      </c>
      <c r="C788" t="inlineStr">
        <is>
          <t xml:space="preserve">Билборд</t>
        </is>
      </c>
      <c r="D788" t="inlineStr">
        <is>
          <t xml:space="preserve">6×3</t>
        </is>
      </c>
      <c r="E788" t="inlineStr">
        <is>
          <t xml:space="preserve">A, B</t>
        </is>
      </c>
      <c r="F788" s="2" t="str">
        <f>HYPERLINK("https://yandex.ru/maps/?pt=73.3131915023388,55.042887813368196&amp;z=17","открыть")</f>
        <v>открыть</v>
      </c>
      <c r="G788" s="2" t="str">
        <f>HYPERLINK("https://mediafasadomsk.com/surfaces/bb-zaozernaya-ul-36-svetofor-a-900.jpg","смотреть")</f>
        <v>смотреть</v>
      </c>
      <c r="H788">
        <v>55.042887813368196</v>
      </c>
      <c r="I788">
        <v>73.3131915023388</v>
      </c>
    </row>
    <row r="789">
      <c r="A789">
        <v>788</v>
      </c>
      <c r="B789" t="inlineStr">
        <is>
          <t xml:space="preserve">Заозёрная, чётная сторона, 250 м после пересечения с проспектом Академика Королёва</t>
        </is>
      </c>
      <c r="C789" t="inlineStr">
        <is>
          <t xml:space="preserve">Билборд</t>
        </is>
      </c>
      <c r="D789" t="inlineStr">
        <is>
          <t xml:space="preserve">6×3</t>
        </is>
      </c>
      <c r="E789" t="inlineStr">
        <is>
          <t xml:space="preserve">A, B</t>
        </is>
      </c>
      <c r="F789" s="2" t="str">
        <f>HYPERLINK("https://yandex.ru/maps/?pt=73.30968317294708,55.034784948728216&amp;z=17","открыть")</f>
        <v>открыть</v>
      </c>
      <c r="G789" s="2" t="str">
        <f>HYPERLINK("https://mediafasadomsk.com/surfaces/bb-zaozernaya-ul-chetnaya-storona-250-m-posle-h-s-prospektom-koroleva-a-900.jpg","смотреть")</f>
        <v>смотреть</v>
      </c>
      <c r="H789">
        <v>55.034784948728216</v>
      </c>
      <c r="I789">
        <v>73.30968317294708</v>
      </c>
    </row>
    <row r="790">
      <c r="A790">
        <v>789</v>
      </c>
      <c r="B790" t="inlineStr">
        <is>
          <t xml:space="preserve">Заозёрная, чётная сторона, пересечение с улицей Заозёрная 10-я</t>
        </is>
      </c>
      <c r="C790" t="inlineStr">
        <is>
          <t xml:space="preserve">Билборд</t>
        </is>
      </c>
      <c r="D790" t="inlineStr">
        <is>
          <t xml:space="preserve">6×3</t>
        </is>
      </c>
      <c r="E790" t="inlineStr">
        <is>
          <t xml:space="preserve">A, B</t>
        </is>
      </c>
      <c r="F790" s="2" t="str">
        <f>HYPERLINK("https://yandex.ru/maps/?pt=73.30850192394168,55.032316970044896&amp;z=17","открыть")</f>
        <v>открыть</v>
      </c>
      <c r="G790" s="2" t="str">
        <f>HYPERLINK("https://mediafasadomsk.com/surfaces/bb-zaozernaya-ul-chetnaya-storona-h-s-ul-zaozernaya-10-ya-a-900.jpg","смотреть")</f>
        <v>смотреть</v>
      </c>
      <c r="H790">
        <v>55.032316970044896</v>
      </c>
      <c r="I790">
        <v>73.30850192394168</v>
      </c>
    </row>
    <row r="791">
      <c r="A791">
        <v>790</v>
      </c>
      <c r="B791" t="inlineStr">
        <is>
          <t xml:space="preserve">Заозёрная, чётная сторона, после пересечения с проспектом Мира</t>
        </is>
      </c>
      <c r="C791" t="inlineStr">
        <is>
          <t xml:space="preserve">Билборд</t>
        </is>
      </c>
      <c r="D791" t="inlineStr">
        <is>
          <t xml:space="preserve">6×3</t>
        </is>
      </c>
      <c r="E791" t="inlineStr">
        <is>
          <t xml:space="preserve">A, B</t>
        </is>
      </c>
      <c r="F791" s="2" t="str">
        <f>HYPERLINK("https://yandex.ru/maps/?pt=73.3039999999998,55.0212&amp;z=17","открыть")</f>
        <v>открыть</v>
      </c>
      <c r="G791" s="2" t="str">
        <f>HYPERLINK("https://mediafasadomsk.com/surfaces/bb-zaozernaya-ul-chetnaya-storona-posle-h-s-prospektom-mira-a-900.jpg","смотреть")</f>
        <v>смотреть</v>
      </c>
      <c r="H791">
        <v>55.0212</v>
      </c>
      <c r="I791">
        <v>73.3039999999998</v>
      </c>
    </row>
    <row r="792">
      <c r="A792">
        <v>791</v>
      </c>
      <c r="B792" t="inlineStr">
        <is>
          <t xml:space="preserve">Заозёрная, 6</t>
        </is>
      </c>
      <c r="C792" t="inlineStr">
        <is>
          <t xml:space="preserve">Билборд</t>
        </is>
      </c>
      <c r="D792" t="inlineStr">
        <is>
          <t xml:space="preserve">6×3</t>
        </is>
      </c>
      <c r="E792" t="inlineStr">
        <is>
          <t xml:space="preserve">A, B</t>
        </is>
      </c>
      <c r="F792" s="2" t="str">
        <f>HYPERLINK("https://yandex.ru/maps/?pt=73.31837,55.055186&amp;z=17","открыть")</f>
        <v>открыть</v>
      </c>
      <c r="G792" s="2" t="str">
        <f>HYPERLINK("https://mediafasadomsk.com/surfaces/bb-zaozernaya-ul-d-6-a-900.jpg","смотреть")</f>
        <v>смотреть</v>
      </c>
      <c r="H792">
        <v>55.055186</v>
      </c>
      <c r="I792">
        <v>73.31837</v>
      </c>
    </row>
    <row r="793">
      <c r="A793">
        <v>792</v>
      </c>
      <c r="B793" t="inlineStr">
        <is>
          <t xml:space="preserve">Пересечение Заозёрной и проспекта Мира (дом 8Б)</t>
        </is>
      </c>
      <c r="C793" t="inlineStr">
        <is>
          <t xml:space="preserve">Билборд</t>
        </is>
      </c>
      <c r="D793" t="inlineStr">
        <is>
          <t xml:space="preserve">6×3</t>
        </is>
      </c>
      <c r="E793" t="inlineStr">
        <is>
          <t xml:space="preserve">A, B</t>
        </is>
      </c>
      <c r="F793" s="2" t="str">
        <f>HYPERLINK("https://yandex.ru/maps/?pt=73.304799,55.023761&amp;z=17","открыть")</f>
        <v>открыть</v>
      </c>
      <c r="G793" s="2" t="str">
        <f>HYPERLINK("https://mediafasadomsk.com/surfaces/bb-zaozernaya-ul-mira-pr-8b-a-900.jpg","смотреть")</f>
        <v>смотреть</v>
      </c>
      <c r="H793">
        <v>55.023761</v>
      </c>
      <c r="I793">
        <v>73.304799</v>
      </c>
    </row>
    <row r="794">
      <c r="A794">
        <v>793</v>
      </c>
      <c r="B794" t="inlineStr">
        <is>
          <t xml:space="preserve">Заозёрная, нечётная сторона, 250 м до пересечения с проспектом Академика Королёва</t>
        </is>
      </c>
      <c r="C794" t="inlineStr">
        <is>
          <t xml:space="preserve">Билборд</t>
        </is>
      </c>
      <c r="D794" t="inlineStr">
        <is>
          <t xml:space="preserve">6×3</t>
        </is>
      </c>
      <c r="E794" t="inlineStr">
        <is>
          <t xml:space="preserve">A, B</t>
        </is>
      </c>
      <c r="F794" s="2" t="str">
        <f>HYPERLINK("https://yandex.ru/maps/?pt=73.31014451289715,55.034717314623265&amp;z=17","открыть")</f>
        <v>открыть</v>
      </c>
      <c r="G794" s="2" t="str">
        <f>HYPERLINK("https://mediafasadomsk.com/surfaces/bb-zaozernaya-ul-nechetnaya-storona-250-m-do-h-s-prospektom-koroleva-a-900.jpg","смотреть")</f>
        <v>смотреть</v>
      </c>
      <c r="H794">
        <v>55.034717314623265</v>
      </c>
      <c r="I794">
        <v>73.31014451289715</v>
      </c>
    </row>
    <row r="795">
      <c r="A795">
        <v>794</v>
      </c>
      <c r="B795" t="inlineStr">
        <is>
          <t xml:space="preserve">Заозёрная, нечётная сторона, до пересечения с проспектом Мира</t>
        </is>
      </c>
      <c r="C795" t="inlineStr">
        <is>
          <t xml:space="preserve">Билборд</t>
        </is>
      </c>
      <c r="D795" t="inlineStr">
        <is>
          <t xml:space="preserve">6×3</t>
        </is>
      </c>
      <c r="E795" t="inlineStr">
        <is>
          <t xml:space="preserve">A, B</t>
        </is>
      </c>
      <c r="F795" s="2" t="str">
        <f>HYPERLINK("https://yandex.ru/maps/?pt=73.30489999999993,55.021&amp;z=17","открыть")</f>
        <v>открыть</v>
      </c>
      <c r="G795" s="2" t="str">
        <f>HYPERLINK("https://mediafasadomsk.com/surfaces/bb-zaozernaya-ul-nechetnaya-storona-do-h-s-prospektom-mira-a-900.jpg","смотреть")</f>
        <v>смотреть</v>
      </c>
      <c r="H795">
        <v>55.021</v>
      </c>
      <c r="I795">
        <v>73.30489999999993</v>
      </c>
    </row>
    <row r="796">
      <c r="A796">
        <v>795</v>
      </c>
      <c r="B796" t="inlineStr">
        <is>
          <t xml:space="preserve">Заозёрная, нечётная сторона, после съезда с проспекта Мира</t>
        </is>
      </c>
      <c r="C796" t="inlineStr">
        <is>
          <t xml:space="preserve">Билборд</t>
        </is>
      </c>
      <c r="D796" t="inlineStr">
        <is>
          <t xml:space="preserve">6×3</t>
        </is>
      </c>
      <c r="E796" t="inlineStr">
        <is>
          <t xml:space="preserve">A, B</t>
        </is>
      </c>
      <c r="F796" s="2" t="str">
        <f>HYPERLINK("https://yandex.ru/maps/?pt=73.30580000000005,55.02490000000001&amp;z=17","открыть")</f>
        <v>открыть</v>
      </c>
      <c r="G796" s="2" t="str">
        <f>HYPERLINK("https://mediafasadomsk.com/surfaces/bb-zaozernaya-ul-nechetnaya-storona-posle-sezda-s-prospekta-mira-a-900.jpg","смотреть")</f>
        <v>смотреть</v>
      </c>
      <c r="H796">
        <v>55.02490000000001</v>
      </c>
      <c r="I796">
        <v>73.30580000000005</v>
      </c>
    </row>
    <row r="797">
      <c r="A797">
        <v>796</v>
      </c>
      <c r="B797" t="inlineStr">
        <is>
          <t xml:space="preserve">Заозёрная, нечётная сторона, съезд с проспекта Мира</t>
        </is>
      </c>
      <c r="C797" t="inlineStr">
        <is>
          <t xml:space="preserve">Билборд</t>
        </is>
      </c>
      <c r="D797" t="inlineStr">
        <is>
          <t xml:space="preserve">6×3</t>
        </is>
      </c>
      <c r="E797" t="inlineStr">
        <is>
          <t xml:space="preserve">A</t>
        </is>
      </c>
      <c r="F797" s="2" t="str">
        <f>HYPERLINK("https://yandex.ru/maps/?pt=73.30557469444148,55.02440336467483&amp;z=17","открыть")</f>
        <v>открыть</v>
      </c>
      <c r="G797" s="2" t="str">
        <f>HYPERLINK("https://mediafasadomsk.com/surfaces/bb-zaozernaya-ul-nechetnaya-storona-sezd-s-prospekta-mira-a-900.jpg","смотреть")</f>
        <v>смотреть</v>
      </c>
      <c r="H797">
        <v>55.02440336467483</v>
      </c>
      <c r="I797">
        <v>73.30557469444148</v>
      </c>
    </row>
    <row r="798">
      <c r="A798">
        <v>797</v>
      </c>
      <c r="B798" t="inlineStr">
        <is>
          <t xml:space="preserve">Заозёрная, Заозёрная 4-я, 3</t>
        </is>
      </c>
      <c r="C798" t="inlineStr">
        <is>
          <t xml:space="preserve">Билборд</t>
        </is>
      </c>
      <c r="D798" t="inlineStr">
        <is>
          <t xml:space="preserve">6×3</t>
        </is>
      </c>
      <c r="E798" t="inlineStr">
        <is>
          <t xml:space="preserve">A, B</t>
        </is>
      </c>
      <c r="F798" s="2" t="str">
        <f>HYPERLINK("https://yandex.ru/maps/?pt=73.306267,55.028026&amp;z=17","открыть")</f>
        <v>открыть</v>
      </c>
      <c r="G798" s="2" t="str">
        <f>HYPERLINK("https://mediafasadomsk.com/surfaces/bb-zaozernaya-ul-zaozernaya-4-ya-ul-3-a-900.jpg","смотреть")</f>
        <v>смотреть</v>
      </c>
      <c r="H798">
        <v>55.028026</v>
      </c>
      <c r="I798">
        <v>73.306267</v>
      </c>
    </row>
    <row r="799">
      <c r="A799">
        <v>798</v>
      </c>
      <c r="B799" t="inlineStr">
        <is>
          <t xml:space="preserve">Заозёрная, Заозёрная 4-я, 3 (напротив)</t>
        </is>
      </c>
      <c r="C799" t="inlineStr">
        <is>
          <t xml:space="preserve">Билборд</t>
        </is>
      </c>
      <c r="D799" t="inlineStr">
        <is>
          <t xml:space="preserve">6×3</t>
        </is>
      </c>
      <c r="E799" t="inlineStr">
        <is>
          <t xml:space="preserve">A, B</t>
        </is>
      </c>
      <c r="F799" s="2" t="str">
        <f>HYPERLINK("https://yandex.ru/maps/?pt=73.306985,55.027751&amp;z=17","открыть")</f>
        <v>открыть</v>
      </c>
      <c r="G799" s="2" t="str">
        <f>HYPERLINK("https://mediafasadomsk.com/surfaces/bb-zaozernaya-ul-zaozernaya-4-ya-ul-3-naprotiv-a-900.jpg","смотреть")</f>
        <v>смотреть</v>
      </c>
      <c r="H799">
        <v>55.027751</v>
      </c>
      <c r="I799">
        <v>73.306985</v>
      </c>
    </row>
    <row r="800">
      <c r="A800">
        <v>799</v>
      </c>
      <c r="B800" t="inlineStr">
        <is>
          <t xml:space="preserve">Завертяева, 28</t>
        </is>
      </c>
      <c r="C800" t="inlineStr">
        <is>
          <t xml:space="preserve">Билборд</t>
        </is>
      </c>
      <c r="D800" t="inlineStr">
        <is>
          <t xml:space="preserve">6×3</t>
        </is>
      </c>
      <c r="E800" t="inlineStr">
        <is>
          <t xml:space="preserve">A, B</t>
        </is>
      </c>
      <c r="F800" s="2" t="str">
        <f>HYPERLINK("https://yandex.ru/maps/?pt=73.46294,55.032874&amp;z=17","открыть")</f>
        <v>открыть</v>
      </c>
      <c r="G800" s="2" t="str">
        <f>HYPERLINK("https://mediafasadomsk.com/surfaces/bb-zavertyaeva-ul-28-a-900.jpg","смотреть")</f>
        <v>смотреть</v>
      </c>
      <c r="H800">
        <v>55.032874</v>
      </c>
      <c r="I800">
        <v>73.46294</v>
      </c>
    </row>
    <row r="801">
      <c r="A801">
        <v>800</v>
      </c>
      <c r="B801" t="inlineStr">
        <is>
          <t xml:space="preserve">Завертяева, напротив дома 26/1</t>
        </is>
      </c>
      <c r="C801" t="inlineStr">
        <is>
          <t xml:space="preserve">Билборд</t>
        </is>
      </c>
      <c r="D801" t="inlineStr">
        <is>
          <t xml:space="preserve">6×3</t>
        </is>
      </c>
      <c r="E801" t="inlineStr">
        <is>
          <t xml:space="preserve">A, B</t>
        </is>
      </c>
      <c r="F801" s="2" t="str">
        <f>HYPERLINK("https://yandex.ru/maps/?pt=73.459304,55.033418&amp;z=17","открыть")</f>
        <v>открыть</v>
      </c>
      <c r="G801" s="2" t="str">
        <f>HYPERLINK("https://mediafasadomsk.com/surfaces/bb-zavertyaeva-ul-d-26-1-naprotiv-a-900.jpg","смотреть")</f>
        <v>смотреть</v>
      </c>
      <c r="H801">
        <v>55.033418</v>
      </c>
      <c r="I801">
        <v>73.459304</v>
      </c>
    </row>
    <row r="802">
      <c r="A802">
        <v>801</v>
      </c>
      <c r="B802" t="inlineStr">
        <is>
          <t xml:space="preserve">Пересечение Маршала Жукова и Масленникова (рядом Степана Разина 36)</t>
        </is>
      </c>
      <c r="C802" t="inlineStr">
        <is>
          <t xml:space="preserve">Билборд</t>
        </is>
      </c>
      <c r="D802" t="inlineStr">
        <is>
          <t xml:space="preserve">6×3</t>
        </is>
      </c>
      <c r="E802" t="inlineStr">
        <is>
          <t xml:space="preserve">A</t>
        </is>
      </c>
      <c r="F802" s="2" t="str">
        <f>HYPERLINK("https://yandex.ru/maps/?pt=73.388906,54.973537&amp;z=17","открыть")</f>
        <v>открыть</v>
      </c>
      <c r="G802" s="2" t="str">
        <f>HYPERLINK("https://mediafasadomsk.com/surfaces/bb-zhukova-ul-maslennikova-ul-ryadom-stepana-razina-36-a-900.jpg","смотреть")</f>
        <v>смотреть</v>
      </c>
      <c r="H802">
        <v>54.973537</v>
      </c>
      <c r="I802">
        <v>73.388906</v>
      </c>
    </row>
  </sheetData>
  <autoFilter ref="A1:J802"/>
</worksheet>
</file>